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EELANCE\UPWORK\68. Kevin Barnett Construction\2. Jacobson Residence\"/>
    </mc:Choice>
  </mc:AlternateContent>
  <xr:revisionPtr revIDLastSave="0" documentId="13_ncr:1_{C95381AE-8C17-4E56-8464-4FFED9260AC8}" xr6:coauthVersionLast="36" xr6:coauthVersionMax="36" xr10:uidLastSave="{00000000-0000-0000-0000-000000000000}"/>
  <bookViews>
    <workbookView xWindow="0" yWindow="0" windowWidth="20490" windowHeight="7545" tabRatio="853" activeTab="1" xr2:uid="{00000000-000D-0000-FFFF-FFFF00000000}"/>
  </bookViews>
  <sheets>
    <sheet name="PROJECT SUMMARY" sheetId="1" r:id="rId1"/>
    <sheet name="BASE BID" sheetId="5" r:id="rId2"/>
  </sheets>
  <externalReferences>
    <externalReference r:id="rId3"/>
  </externalReferences>
  <definedNames>
    <definedName name="_xlnm._FilterDatabase" localSheetId="1" hidden="1">'BASE BID'!$A$182:$P$690</definedName>
    <definedName name="_xlnm.Print_Area" localSheetId="1">'BASE BID'!$A$1:$P$12</definedName>
  </definedNames>
  <calcPr calcId="191029"/>
</workbook>
</file>

<file path=xl/calcChain.xml><?xml version="1.0" encoding="utf-8"?>
<calcChain xmlns="http://schemas.openxmlformats.org/spreadsheetml/2006/main">
  <c r="A24" i="5" l="1"/>
  <c r="A26" i="5" s="1"/>
  <c r="A25" i="5"/>
  <c r="A28" i="5"/>
  <c r="A31" i="5"/>
  <c r="A32" i="5"/>
  <c r="A35" i="5"/>
  <c r="A38" i="5"/>
  <c r="A39" i="5"/>
  <c r="A42" i="5"/>
  <c r="A43" i="5"/>
  <c r="A48" i="5"/>
  <c r="A50" i="5"/>
  <c r="A51" i="5"/>
  <c r="A53" i="5"/>
  <c r="A54" i="5"/>
  <c r="A58" i="5"/>
  <c r="A59" i="5"/>
  <c r="A60" i="5"/>
  <c r="A61" i="5"/>
  <c r="A63" i="5"/>
  <c r="A64" i="5"/>
  <c r="A66" i="5"/>
  <c r="A67" i="5"/>
  <c r="A68" i="5"/>
  <c r="A69" i="5"/>
  <c r="A71" i="5"/>
  <c r="A72" i="5"/>
  <c r="A74" i="5"/>
  <c r="A75" i="5"/>
  <c r="A77" i="5"/>
  <c r="A78" i="5"/>
  <c r="A80" i="5"/>
  <c r="A81" i="5"/>
  <c r="A85" i="5"/>
  <c r="A86" i="5"/>
  <c r="A90" i="5"/>
  <c r="A91" i="5"/>
  <c r="A94" i="5"/>
  <c r="A95" i="5"/>
  <c r="A96" i="5"/>
  <c r="A99" i="5"/>
  <c r="A100" i="5"/>
  <c r="A103" i="5"/>
  <c r="A104" i="5"/>
  <c r="A105" i="5"/>
  <c r="A106" i="5"/>
  <c r="A112" i="5"/>
  <c r="A115" i="5"/>
  <c r="A120" i="5"/>
  <c r="A121" i="5"/>
  <c r="A125" i="5"/>
  <c r="A129" i="5"/>
  <c r="A130" i="5"/>
  <c r="A133" i="5"/>
  <c r="A134" i="5"/>
  <c r="A137" i="5"/>
  <c r="A138" i="5"/>
  <c r="A141" i="5"/>
  <c r="A142" i="5"/>
  <c r="A143" i="5"/>
  <c r="A144" i="5"/>
  <c r="A157" i="5"/>
  <c r="A158" i="5"/>
  <c r="A160" i="5"/>
  <c r="A161" i="5"/>
  <c r="A180" i="5"/>
  <c r="A181" i="5"/>
  <c r="A182" i="5"/>
  <c r="A183" i="5"/>
  <c r="A184" i="5"/>
  <c r="A185" i="5"/>
  <c r="A191" i="5"/>
  <c r="A192" i="5"/>
  <c r="A198" i="5"/>
  <c r="A199" i="5"/>
  <c r="A205" i="5"/>
  <c r="A206" i="5"/>
  <c r="A212" i="5"/>
  <c r="A213" i="5"/>
  <c r="A219" i="5"/>
  <c r="A220" i="5"/>
  <c r="A226" i="5"/>
  <c r="A227" i="5"/>
  <c r="A233" i="5"/>
  <c r="A234" i="5"/>
  <c r="A240" i="5"/>
  <c r="A241" i="5"/>
  <c r="A247" i="5"/>
  <c r="A248" i="5"/>
  <c r="A254" i="5"/>
  <c r="A255" i="5"/>
  <c r="A261" i="5"/>
  <c r="A262" i="5"/>
  <c r="A268" i="5"/>
  <c r="A269" i="5"/>
  <c r="A275" i="5"/>
  <c r="A276" i="5"/>
  <c r="A282" i="5"/>
  <c r="A283" i="5"/>
  <c r="A289" i="5"/>
  <c r="A290" i="5"/>
  <c r="A296" i="5"/>
  <c r="A297" i="5"/>
  <c r="A303" i="5"/>
  <c r="A304" i="5"/>
  <c r="A311" i="5"/>
  <c r="A312" i="5"/>
  <c r="A318" i="5"/>
  <c r="A319" i="5"/>
  <c r="A325" i="5"/>
  <c r="A326" i="5"/>
  <c r="A332" i="5"/>
  <c r="A333" i="5"/>
  <c r="A339" i="5"/>
  <c r="A340" i="5"/>
  <c r="A347" i="5"/>
  <c r="A348" i="5"/>
  <c r="A354" i="5"/>
  <c r="A355" i="5"/>
  <c r="A361" i="5"/>
  <c r="A362" i="5"/>
  <c r="A369" i="5"/>
  <c r="A370" i="5"/>
  <c r="A376" i="5"/>
  <c r="A377" i="5"/>
  <c r="A383" i="5"/>
  <c r="A384" i="5"/>
  <c r="A391" i="5"/>
  <c r="A392" i="5"/>
  <c r="A399" i="5"/>
  <c r="A400" i="5"/>
  <c r="A406" i="5"/>
  <c r="A407" i="5"/>
  <c r="A414" i="5"/>
  <c r="A415" i="5"/>
  <c r="A420" i="5"/>
  <c r="A421" i="5"/>
  <c r="A426" i="5"/>
  <c r="A427" i="5"/>
  <c r="A432" i="5"/>
  <c r="A433" i="5"/>
  <c r="A438" i="5"/>
  <c r="A439" i="5"/>
  <c r="A444" i="5"/>
  <c r="A445" i="5"/>
  <c r="A450" i="5"/>
  <c r="A451" i="5"/>
  <c r="A456" i="5"/>
  <c r="A460" i="5"/>
  <c r="A461" i="5"/>
  <c r="A463" i="5"/>
  <c r="A464" i="5"/>
  <c r="A467" i="5"/>
  <c r="A469" i="5"/>
  <c r="A472" i="5"/>
  <c r="A473" i="5"/>
  <c r="A476" i="5"/>
  <c r="A477" i="5"/>
  <c r="A484" i="5"/>
  <c r="A485" i="5"/>
  <c r="A491" i="5"/>
  <c r="A492" i="5"/>
  <c r="A494" i="5"/>
  <c r="A495" i="5"/>
  <c r="A497" i="5"/>
  <c r="A498" i="5"/>
  <c r="A499" i="5"/>
  <c r="A500" i="5"/>
  <c r="A503" i="5"/>
  <c r="A504" i="5"/>
  <c r="A506" i="5"/>
  <c r="A507" i="5"/>
  <c r="A515" i="5"/>
  <c r="A516" i="5"/>
  <c r="A518" i="5"/>
  <c r="A519" i="5"/>
  <c r="A521" i="5"/>
  <c r="A525" i="5"/>
  <c r="A526" i="5"/>
  <c r="A527" i="5"/>
  <c r="A528" i="5"/>
  <c r="A540" i="5"/>
  <c r="A541" i="5"/>
  <c r="A543" i="5"/>
  <c r="A544" i="5"/>
  <c r="A545" i="5"/>
  <c r="A546" i="5"/>
  <c r="A556" i="5"/>
  <c r="A557" i="5"/>
  <c r="A558" i="5"/>
  <c r="A559" i="5"/>
  <c r="A562" i="5"/>
  <c r="A576" i="5"/>
  <c r="A578" i="5"/>
  <c r="A579" i="5"/>
  <c r="A580" i="5"/>
  <c r="A582" i="5"/>
  <c r="A583" i="5"/>
  <c r="A584" i="5"/>
  <c r="A586" i="5"/>
  <c r="A587" i="5"/>
  <c r="A601" i="5"/>
  <c r="A602" i="5"/>
  <c r="A605" i="5"/>
  <c r="A606" i="5"/>
  <c r="A607" i="5"/>
  <c r="A609" i="5"/>
  <c r="A610" i="5"/>
  <c r="A611" i="5"/>
  <c r="A612" i="5"/>
  <c r="A622" i="5"/>
  <c r="A624" i="5"/>
  <c r="A625" i="5"/>
  <c r="A628" i="5"/>
  <c r="A629" i="5"/>
  <c r="A631" i="5"/>
  <c r="A632" i="5"/>
  <c r="A634" i="5"/>
  <c r="A637" i="5"/>
  <c r="A638" i="5"/>
  <c r="A639" i="5"/>
  <c r="A643" i="5"/>
  <c r="A644" i="5"/>
  <c r="A645" i="5"/>
  <c r="A646" i="5"/>
  <c r="A649" i="5"/>
  <c r="A650" i="5"/>
  <c r="A653" i="5"/>
  <c r="A656" i="5"/>
  <c r="A659" i="5"/>
  <c r="A660" i="5"/>
  <c r="A663" i="5"/>
  <c r="A666" i="5"/>
  <c r="A667" i="5"/>
  <c r="A670" i="5"/>
  <c r="A671" i="5"/>
  <c r="A676" i="5"/>
  <c r="A678" i="5"/>
  <c r="A679" i="5"/>
  <c r="A685" i="5"/>
  <c r="A686" i="5"/>
  <c r="P181" i="5"/>
  <c r="A22" i="5"/>
  <c r="E459" i="5"/>
  <c r="E458" i="5"/>
  <c r="E457" i="5"/>
  <c r="A27" i="5" l="1"/>
  <c r="E83" i="5"/>
  <c r="F83" i="5"/>
  <c r="E452" i="5"/>
  <c r="F455" i="5"/>
  <c r="E455" i="5"/>
  <c r="F454" i="5"/>
  <c r="E454" i="5"/>
  <c r="F453" i="5"/>
  <c r="E453" i="5"/>
  <c r="F452" i="5"/>
  <c r="F449" i="5"/>
  <c r="E449" i="5"/>
  <c r="F448" i="5"/>
  <c r="E448" i="5"/>
  <c r="F447" i="5"/>
  <c r="G447" i="5" s="1"/>
  <c r="E447" i="5"/>
  <c r="F446" i="5"/>
  <c r="E446" i="5"/>
  <c r="E434" i="5"/>
  <c r="F437" i="5"/>
  <c r="E437" i="5"/>
  <c r="F436" i="5"/>
  <c r="E436" i="5"/>
  <c r="F435" i="5"/>
  <c r="E435" i="5"/>
  <c r="F434" i="5"/>
  <c r="E440" i="5"/>
  <c r="F443" i="5"/>
  <c r="E443" i="5"/>
  <c r="F442" i="5"/>
  <c r="E442" i="5"/>
  <c r="F441" i="5"/>
  <c r="E441" i="5"/>
  <c r="F440" i="5"/>
  <c r="E428" i="5"/>
  <c r="F431" i="5"/>
  <c r="E431" i="5"/>
  <c r="F430" i="5"/>
  <c r="E430" i="5"/>
  <c r="F429" i="5"/>
  <c r="E429" i="5"/>
  <c r="F428" i="5"/>
  <c r="E422" i="5"/>
  <c r="F425" i="5"/>
  <c r="E425" i="5"/>
  <c r="F424" i="5"/>
  <c r="E424" i="5"/>
  <c r="F423" i="5"/>
  <c r="E423" i="5"/>
  <c r="F422" i="5"/>
  <c r="E416" i="5"/>
  <c r="F419" i="5"/>
  <c r="E419" i="5"/>
  <c r="F418" i="5"/>
  <c r="E418" i="5"/>
  <c r="F417" i="5"/>
  <c r="E417" i="5"/>
  <c r="F416" i="5"/>
  <c r="E401" i="5"/>
  <c r="F405" i="5"/>
  <c r="E405" i="5"/>
  <c r="F404" i="5"/>
  <c r="E404" i="5"/>
  <c r="F403" i="5"/>
  <c r="E403" i="5"/>
  <c r="F402" i="5"/>
  <c r="E402" i="5"/>
  <c r="F401" i="5"/>
  <c r="F413" i="5"/>
  <c r="E413" i="5"/>
  <c r="F412" i="5"/>
  <c r="E412" i="5"/>
  <c r="F411" i="5"/>
  <c r="E411" i="5"/>
  <c r="F410" i="5"/>
  <c r="E410" i="5"/>
  <c r="F409" i="5"/>
  <c r="E409" i="5"/>
  <c r="F408" i="5"/>
  <c r="E408" i="5"/>
  <c r="E397" i="5"/>
  <c r="E394" i="5"/>
  <c r="E393" i="5"/>
  <c r="F398" i="5"/>
  <c r="E398" i="5"/>
  <c r="F397" i="5"/>
  <c r="F396" i="5"/>
  <c r="E396" i="5"/>
  <c r="F395" i="5"/>
  <c r="E395" i="5"/>
  <c r="F394" i="5"/>
  <c r="F393" i="5"/>
  <c r="E389" i="5"/>
  <c r="E386" i="5"/>
  <c r="E385" i="5"/>
  <c r="F386" i="5"/>
  <c r="F390" i="5"/>
  <c r="E390" i="5"/>
  <c r="F389" i="5"/>
  <c r="F388" i="5"/>
  <c r="E388" i="5"/>
  <c r="F387" i="5"/>
  <c r="E387" i="5"/>
  <c r="F385" i="5"/>
  <c r="E356" i="5"/>
  <c r="E371" i="5"/>
  <c r="E378" i="5"/>
  <c r="F382" i="5"/>
  <c r="E382" i="5"/>
  <c r="F381" i="5"/>
  <c r="E381" i="5"/>
  <c r="F380" i="5"/>
  <c r="E380" i="5"/>
  <c r="F379" i="5"/>
  <c r="E379" i="5"/>
  <c r="F378" i="5"/>
  <c r="E374" i="5"/>
  <c r="F375" i="5"/>
  <c r="E375" i="5"/>
  <c r="F374" i="5"/>
  <c r="F373" i="5"/>
  <c r="E373" i="5"/>
  <c r="F372" i="5"/>
  <c r="E372" i="5"/>
  <c r="F371" i="5"/>
  <c r="E364" i="5"/>
  <c r="F364" i="5"/>
  <c r="F368" i="5"/>
  <c r="E368" i="5"/>
  <c r="F367" i="5"/>
  <c r="E367" i="5"/>
  <c r="F366" i="5"/>
  <c r="E366" i="5"/>
  <c r="F365" i="5"/>
  <c r="E365" i="5"/>
  <c r="F363" i="5"/>
  <c r="E363" i="5"/>
  <c r="E358" i="5"/>
  <c r="E351" i="5"/>
  <c r="E336" i="5"/>
  <c r="E329" i="5"/>
  <c r="E322" i="5"/>
  <c r="E315" i="5"/>
  <c r="E308" i="5"/>
  <c r="E300" i="5"/>
  <c r="E344" i="5"/>
  <c r="E345" i="5"/>
  <c r="E342" i="5"/>
  <c r="E341" i="5"/>
  <c r="E337" i="5"/>
  <c r="E334" i="5"/>
  <c r="E352" i="5"/>
  <c r="F352" i="5"/>
  <c r="F345" i="5"/>
  <c r="F337" i="5"/>
  <c r="E330" i="5"/>
  <c r="F330" i="5"/>
  <c r="E323" i="5"/>
  <c r="F323" i="5"/>
  <c r="F316" i="5"/>
  <c r="E316" i="5"/>
  <c r="E309" i="5"/>
  <c r="F309" i="5"/>
  <c r="E301" i="5"/>
  <c r="F301" i="5"/>
  <c r="F353" i="5"/>
  <c r="E353" i="5"/>
  <c r="F351" i="5"/>
  <c r="F350" i="5"/>
  <c r="E350" i="5"/>
  <c r="F349" i="5"/>
  <c r="E349" i="5"/>
  <c r="F342" i="5"/>
  <c r="F346" i="5"/>
  <c r="E346" i="5"/>
  <c r="F344" i="5"/>
  <c r="F343" i="5"/>
  <c r="E343" i="5"/>
  <c r="F341" i="5"/>
  <c r="F338" i="5"/>
  <c r="E338" i="5"/>
  <c r="F336" i="5"/>
  <c r="F335" i="5"/>
  <c r="E335" i="5"/>
  <c r="F334" i="5"/>
  <c r="E327" i="5"/>
  <c r="F331" i="5"/>
  <c r="E331" i="5"/>
  <c r="F329" i="5"/>
  <c r="F328" i="5"/>
  <c r="E328" i="5"/>
  <c r="F327" i="5"/>
  <c r="E320" i="5"/>
  <c r="F324" i="5"/>
  <c r="E324" i="5"/>
  <c r="F322" i="5"/>
  <c r="F321" i="5"/>
  <c r="E321" i="5"/>
  <c r="F320" i="5"/>
  <c r="F317" i="5"/>
  <c r="E317" i="5"/>
  <c r="F315" i="5"/>
  <c r="F314" i="5"/>
  <c r="E314" i="5"/>
  <c r="F313" i="5"/>
  <c r="E313" i="5"/>
  <c r="E306" i="5"/>
  <c r="E305" i="5"/>
  <c r="F306" i="5"/>
  <c r="E298" i="5"/>
  <c r="F310" i="5"/>
  <c r="E310" i="5"/>
  <c r="F308" i="5"/>
  <c r="F307" i="5"/>
  <c r="E307" i="5"/>
  <c r="F305" i="5"/>
  <c r="F260" i="5"/>
  <c r="E260" i="5"/>
  <c r="F259" i="5"/>
  <c r="E259" i="5"/>
  <c r="F258" i="5"/>
  <c r="E258" i="5"/>
  <c r="F257" i="5"/>
  <c r="E257" i="5"/>
  <c r="F256" i="5"/>
  <c r="E256" i="5"/>
  <c r="E252" i="5"/>
  <c r="E249" i="5"/>
  <c r="F253" i="5"/>
  <c r="E253" i="5"/>
  <c r="F252" i="5"/>
  <c r="F251" i="5"/>
  <c r="E251" i="5"/>
  <c r="F250" i="5"/>
  <c r="E250" i="5"/>
  <c r="F249" i="5"/>
  <c r="E245" i="5"/>
  <c r="E242" i="5"/>
  <c r="F246" i="5"/>
  <c r="E246" i="5"/>
  <c r="F245" i="5"/>
  <c r="F244" i="5"/>
  <c r="E244" i="5"/>
  <c r="F243" i="5"/>
  <c r="E243" i="5"/>
  <c r="F242" i="5"/>
  <c r="F274" i="5"/>
  <c r="E274" i="5"/>
  <c r="F273" i="5"/>
  <c r="E273" i="5"/>
  <c r="F272" i="5"/>
  <c r="E272" i="5"/>
  <c r="F271" i="5"/>
  <c r="E271" i="5"/>
  <c r="F270" i="5"/>
  <c r="E270" i="5"/>
  <c r="E266" i="5"/>
  <c r="E263" i="5"/>
  <c r="F267" i="5"/>
  <c r="E267" i="5"/>
  <c r="F266" i="5"/>
  <c r="F265" i="5"/>
  <c r="E265" i="5"/>
  <c r="F264" i="5"/>
  <c r="E264" i="5"/>
  <c r="F263" i="5"/>
  <c r="G263" i="5" s="1"/>
  <c r="E238" i="5"/>
  <c r="E235" i="5"/>
  <c r="F239" i="5"/>
  <c r="E239" i="5"/>
  <c r="F238" i="5"/>
  <c r="F237" i="5"/>
  <c r="E237" i="5"/>
  <c r="F236" i="5"/>
  <c r="E236" i="5"/>
  <c r="F235" i="5"/>
  <c r="F232" i="5"/>
  <c r="E232" i="5"/>
  <c r="F231" i="5"/>
  <c r="E231" i="5"/>
  <c r="F230" i="5"/>
  <c r="E230" i="5"/>
  <c r="F229" i="5"/>
  <c r="E229" i="5"/>
  <c r="F228" i="5"/>
  <c r="E228" i="5"/>
  <c r="E224" i="5"/>
  <c r="E221" i="5"/>
  <c r="F225" i="5"/>
  <c r="E225" i="5"/>
  <c r="F224" i="5"/>
  <c r="F223" i="5"/>
  <c r="E223" i="5"/>
  <c r="F222" i="5"/>
  <c r="E222" i="5"/>
  <c r="F221" i="5"/>
  <c r="E217" i="5"/>
  <c r="E214" i="5"/>
  <c r="F218" i="5"/>
  <c r="E218" i="5"/>
  <c r="F217" i="5"/>
  <c r="F216" i="5"/>
  <c r="E216" i="5"/>
  <c r="F215" i="5"/>
  <c r="E215" i="5"/>
  <c r="F214" i="5"/>
  <c r="F211" i="5"/>
  <c r="E211" i="5"/>
  <c r="F210" i="5"/>
  <c r="E210" i="5"/>
  <c r="F209" i="5"/>
  <c r="E209" i="5"/>
  <c r="F208" i="5"/>
  <c r="E208" i="5"/>
  <c r="F207" i="5"/>
  <c r="E207" i="5"/>
  <c r="E196" i="5"/>
  <c r="E194" i="5"/>
  <c r="E193" i="5"/>
  <c r="E189" i="5"/>
  <c r="E187" i="5"/>
  <c r="E186" i="5"/>
  <c r="F197" i="5"/>
  <c r="E197" i="5"/>
  <c r="F196" i="5"/>
  <c r="G196" i="5" s="1"/>
  <c r="F195" i="5"/>
  <c r="E195" i="5"/>
  <c r="F194" i="5"/>
  <c r="F193" i="5"/>
  <c r="F190" i="5"/>
  <c r="E190" i="5"/>
  <c r="F189" i="5"/>
  <c r="F188" i="5"/>
  <c r="E188" i="5"/>
  <c r="F187" i="5"/>
  <c r="F186" i="5"/>
  <c r="F295" i="5"/>
  <c r="E295" i="5"/>
  <c r="F294" i="5"/>
  <c r="E294" i="5"/>
  <c r="F293" i="5"/>
  <c r="E293" i="5"/>
  <c r="F292" i="5"/>
  <c r="E292" i="5"/>
  <c r="F291" i="5"/>
  <c r="E291" i="5"/>
  <c r="A29" i="5" l="1"/>
  <c r="A30" i="5"/>
  <c r="J196" i="5"/>
  <c r="L196" i="5" s="1"/>
  <c r="N196" i="5"/>
  <c r="N447" i="5"/>
  <c r="J447" i="5"/>
  <c r="L447" i="5" s="1"/>
  <c r="G440" i="5"/>
  <c r="N440" i="5" s="1"/>
  <c r="G434" i="5"/>
  <c r="N434" i="5" s="1"/>
  <c r="G452" i="5"/>
  <c r="J452" i="5" s="1"/>
  <c r="L452" i="5" s="1"/>
  <c r="N263" i="5"/>
  <c r="J263" i="5"/>
  <c r="L263" i="5" s="1"/>
  <c r="G448" i="5"/>
  <c r="G449" i="5"/>
  <c r="G446" i="5"/>
  <c r="G83" i="5"/>
  <c r="J83" i="5" s="1"/>
  <c r="L83" i="5" s="1"/>
  <c r="G454" i="5"/>
  <c r="G455" i="5"/>
  <c r="G453" i="5"/>
  <c r="G436" i="5"/>
  <c r="G437" i="5"/>
  <c r="G435" i="5"/>
  <c r="G442" i="5"/>
  <c r="G443" i="5"/>
  <c r="G441" i="5"/>
  <c r="G429" i="5"/>
  <c r="G430" i="5"/>
  <c r="G431" i="5"/>
  <c r="G428" i="5"/>
  <c r="G416" i="5"/>
  <c r="G423" i="5"/>
  <c r="G418" i="5"/>
  <c r="G316" i="5"/>
  <c r="G387" i="5"/>
  <c r="G323" i="5"/>
  <c r="G364" i="5"/>
  <c r="G402" i="5"/>
  <c r="G424" i="5"/>
  <c r="G422" i="5"/>
  <c r="G425" i="5"/>
  <c r="G397" i="5"/>
  <c r="G417" i="5"/>
  <c r="G409" i="5"/>
  <c r="G413" i="5"/>
  <c r="G378" i="5"/>
  <c r="G419" i="5"/>
  <c r="G410" i="5"/>
  <c r="G411" i="5"/>
  <c r="G301" i="5"/>
  <c r="G389" i="5"/>
  <c r="G403" i="5"/>
  <c r="G388" i="5"/>
  <c r="G322" i="5"/>
  <c r="G337" i="5"/>
  <c r="G390" i="5"/>
  <c r="G404" i="5"/>
  <c r="G412" i="5"/>
  <c r="G408" i="5"/>
  <c r="G401" i="5"/>
  <c r="G405" i="5"/>
  <c r="G398" i="5"/>
  <c r="G395" i="5"/>
  <c r="G393" i="5"/>
  <c r="G394" i="5"/>
  <c r="G396" i="5"/>
  <c r="G385" i="5"/>
  <c r="G386" i="5"/>
  <c r="G382" i="5"/>
  <c r="G365" i="5"/>
  <c r="G379" i="5"/>
  <c r="G380" i="5"/>
  <c r="G381" i="5"/>
  <c r="G352" i="5"/>
  <c r="G313" i="5"/>
  <c r="G320" i="5"/>
  <c r="G327" i="5"/>
  <c r="G309" i="5"/>
  <c r="G372" i="5"/>
  <c r="G373" i="5"/>
  <c r="G371" i="5"/>
  <c r="G374" i="5"/>
  <c r="G375" i="5"/>
  <c r="G366" i="5"/>
  <c r="G367" i="5"/>
  <c r="G363" i="5"/>
  <c r="G368" i="5"/>
  <c r="G345" i="5"/>
  <c r="G330" i="5"/>
  <c r="G334" i="5"/>
  <c r="G349" i="5"/>
  <c r="G315" i="5"/>
  <c r="G336" i="5"/>
  <c r="G273" i="5"/>
  <c r="G329" i="5"/>
  <c r="G306" i="5"/>
  <c r="G350" i="5"/>
  <c r="G351" i="5"/>
  <c r="G236" i="5"/>
  <c r="G353" i="5"/>
  <c r="G344" i="5"/>
  <c r="G341" i="5"/>
  <c r="G342" i="5"/>
  <c r="G338" i="5"/>
  <c r="G343" i="5"/>
  <c r="G331" i="5"/>
  <c r="G335" i="5"/>
  <c r="G346" i="5"/>
  <c r="G321" i="5"/>
  <c r="G324" i="5"/>
  <c r="G328" i="5"/>
  <c r="G307" i="5"/>
  <c r="G314" i="5"/>
  <c r="G317" i="5"/>
  <c r="G308" i="5"/>
  <c r="G310" i="5"/>
  <c r="G305" i="5"/>
  <c r="G293" i="5"/>
  <c r="G224" i="5"/>
  <c r="G252" i="5"/>
  <c r="G186" i="5"/>
  <c r="G246" i="5"/>
  <c r="G257" i="5"/>
  <c r="G266" i="5"/>
  <c r="G271" i="5"/>
  <c r="G253" i="5"/>
  <c r="G258" i="5"/>
  <c r="G217" i="5"/>
  <c r="G189" i="5"/>
  <c r="G294" i="5"/>
  <c r="G244" i="5"/>
  <c r="G259" i="5"/>
  <c r="G256" i="5"/>
  <c r="G260" i="5"/>
  <c r="G250" i="5"/>
  <c r="G249" i="5"/>
  <c r="G251" i="5"/>
  <c r="G242" i="5"/>
  <c r="G243" i="5"/>
  <c r="G245" i="5"/>
  <c r="G231" i="5"/>
  <c r="G267" i="5"/>
  <c r="G272" i="5"/>
  <c r="G270" i="5"/>
  <c r="G274" i="5"/>
  <c r="G264" i="5"/>
  <c r="G230" i="5"/>
  <c r="G265" i="5"/>
  <c r="G238" i="5"/>
  <c r="G237" i="5"/>
  <c r="G235" i="5"/>
  <c r="G239" i="5"/>
  <c r="G210" i="5"/>
  <c r="G228" i="5"/>
  <c r="G232" i="5"/>
  <c r="G225" i="5"/>
  <c r="G229" i="5"/>
  <c r="G222" i="5"/>
  <c r="G221" i="5"/>
  <c r="G218" i="5"/>
  <c r="G209" i="5"/>
  <c r="G223" i="5"/>
  <c r="G215" i="5"/>
  <c r="G214" i="5"/>
  <c r="G216" i="5"/>
  <c r="G207" i="5"/>
  <c r="G211" i="5"/>
  <c r="G188" i="5"/>
  <c r="G208" i="5"/>
  <c r="G195" i="5"/>
  <c r="G193" i="5"/>
  <c r="G194" i="5"/>
  <c r="G197" i="5"/>
  <c r="G190" i="5"/>
  <c r="G187" i="5"/>
  <c r="G291" i="5"/>
  <c r="G292" i="5"/>
  <c r="G295" i="5"/>
  <c r="A33" i="5" l="1"/>
  <c r="N452" i="5"/>
  <c r="N217" i="5"/>
  <c r="J217" i="5"/>
  <c r="L217" i="5" s="1"/>
  <c r="O217" i="5" s="1"/>
  <c r="N252" i="5"/>
  <c r="J252" i="5"/>
  <c r="L252" i="5" s="1"/>
  <c r="N273" i="5"/>
  <c r="J273" i="5"/>
  <c r="L273" i="5" s="1"/>
  <c r="O273" i="5" s="1"/>
  <c r="N238" i="5"/>
  <c r="J238" i="5"/>
  <c r="L238" i="5" s="1"/>
  <c r="J231" i="5"/>
  <c r="L231" i="5" s="1"/>
  <c r="N231" i="5"/>
  <c r="N210" i="5"/>
  <c r="J210" i="5"/>
  <c r="L210" i="5" s="1"/>
  <c r="N189" i="5"/>
  <c r="J189" i="5"/>
  <c r="L189" i="5" s="1"/>
  <c r="O189" i="5" s="1"/>
  <c r="N224" i="5"/>
  <c r="J224" i="5"/>
  <c r="L224" i="5" s="1"/>
  <c r="N245" i="5"/>
  <c r="J245" i="5"/>
  <c r="L245" i="5" s="1"/>
  <c r="O245" i="5" s="1"/>
  <c r="J259" i="5"/>
  <c r="L259" i="5" s="1"/>
  <c r="N259" i="5"/>
  <c r="N266" i="5"/>
  <c r="J266" i="5"/>
  <c r="L266" i="5" s="1"/>
  <c r="O266" i="5" s="1"/>
  <c r="J434" i="5"/>
  <c r="L434" i="5" s="1"/>
  <c r="O434" i="5" s="1"/>
  <c r="N294" i="5"/>
  <c r="J294" i="5"/>
  <c r="L294" i="5" s="1"/>
  <c r="O196" i="5"/>
  <c r="J218" i="5"/>
  <c r="L218" i="5" s="1"/>
  <c r="N218" i="5"/>
  <c r="N338" i="5"/>
  <c r="J338" i="5"/>
  <c r="L338" i="5" s="1"/>
  <c r="O338" i="5" s="1"/>
  <c r="N211" i="5"/>
  <c r="J211" i="5"/>
  <c r="L211" i="5" s="1"/>
  <c r="N253" i="5"/>
  <c r="J253" i="5"/>
  <c r="L253" i="5" s="1"/>
  <c r="O253" i="5" s="1"/>
  <c r="N398" i="5"/>
  <c r="J398" i="5"/>
  <c r="L398" i="5" s="1"/>
  <c r="N437" i="5"/>
  <c r="J437" i="5"/>
  <c r="L437" i="5" s="1"/>
  <c r="O437" i="5" s="1"/>
  <c r="N449" i="5"/>
  <c r="J449" i="5"/>
  <c r="L449" i="5" s="1"/>
  <c r="N197" i="5"/>
  <c r="J197" i="5"/>
  <c r="L197" i="5" s="1"/>
  <c r="O197" i="5" s="1"/>
  <c r="N382" i="5"/>
  <c r="J382" i="5"/>
  <c r="L382" i="5" s="1"/>
  <c r="N405" i="5"/>
  <c r="J405" i="5"/>
  <c r="L405" i="5" s="1"/>
  <c r="O405" i="5" s="1"/>
  <c r="N413" i="5"/>
  <c r="J413" i="5"/>
  <c r="L413" i="5" s="1"/>
  <c r="N431" i="5"/>
  <c r="J431" i="5"/>
  <c r="L431" i="5" s="1"/>
  <c r="O431" i="5" s="1"/>
  <c r="J239" i="5"/>
  <c r="L239" i="5" s="1"/>
  <c r="N239" i="5"/>
  <c r="N368" i="5"/>
  <c r="J368" i="5"/>
  <c r="L368" i="5" s="1"/>
  <c r="O368" i="5" s="1"/>
  <c r="J267" i="5"/>
  <c r="L267" i="5" s="1"/>
  <c r="N267" i="5"/>
  <c r="N310" i="5"/>
  <c r="J310" i="5"/>
  <c r="L310" i="5" s="1"/>
  <c r="O310" i="5" s="1"/>
  <c r="N232" i="5"/>
  <c r="J232" i="5"/>
  <c r="L232" i="5" s="1"/>
  <c r="N375" i="5"/>
  <c r="J375" i="5"/>
  <c r="L375" i="5" s="1"/>
  <c r="O375" i="5" s="1"/>
  <c r="N455" i="5"/>
  <c r="J455" i="5"/>
  <c r="L455" i="5" s="1"/>
  <c r="N295" i="5"/>
  <c r="J295" i="5"/>
  <c r="L295" i="5" s="1"/>
  <c r="O295" i="5" s="1"/>
  <c r="N225" i="5"/>
  <c r="J225" i="5"/>
  <c r="L225" i="5" s="1"/>
  <c r="N353" i="5"/>
  <c r="J353" i="5"/>
  <c r="L353" i="5" s="1"/>
  <c r="O353" i="5" s="1"/>
  <c r="J246" i="5"/>
  <c r="L246" i="5" s="1"/>
  <c r="N246" i="5"/>
  <c r="N317" i="5"/>
  <c r="J317" i="5"/>
  <c r="L317" i="5" s="1"/>
  <c r="O317" i="5" s="1"/>
  <c r="N331" i="5"/>
  <c r="J331" i="5"/>
  <c r="L331" i="5" s="1"/>
  <c r="J440" i="5"/>
  <c r="L440" i="5" s="1"/>
  <c r="J390" i="5"/>
  <c r="L390" i="5" s="1"/>
  <c r="N390" i="5"/>
  <c r="N419" i="5"/>
  <c r="J419" i="5"/>
  <c r="L419" i="5" s="1"/>
  <c r="N190" i="5"/>
  <c r="J190" i="5"/>
  <c r="L190" i="5" s="1"/>
  <c r="N260" i="5"/>
  <c r="J260" i="5"/>
  <c r="L260" i="5" s="1"/>
  <c r="J324" i="5"/>
  <c r="L324" i="5" s="1"/>
  <c r="N324" i="5"/>
  <c r="N346" i="5"/>
  <c r="J346" i="5"/>
  <c r="L346" i="5" s="1"/>
  <c r="N274" i="5"/>
  <c r="J274" i="5"/>
  <c r="L274" i="5" s="1"/>
  <c r="N425" i="5"/>
  <c r="J425" i="5"/>
  <c r="L425" i="5" s="1"/>
  <c r="J443" i="5"/>
  <c r="L443" i="5" s="1"/>
  <c r="N443" i="5"/>
  <c r="N309" i="5"/>
  <c r="J309" i="5"/>
  <c r="L309" i="5" s="1"/>
  <c r="N367" i="5"/>
  <c r="J367" i="5"/>
  <c r="L367" i="5" s="1"/>
  <c r="N323" i="5"/>
  <c r="J323" i="5"/>
  <c r="L323" i="5" s="1"/>
  <c r="J389" i="5"/>
  <c r="L389" i="5" s="1"/>
  <c r="N389" i="5"/>
  <c r="N337" i="5"/>
  <c r="J337" i="5"/>
  <c r="L337" i="5" s="1"/>
  <c r="N374" i="5"/>
  <c r="J374" i="5"/>
  <c r="L374" i="5" s="1"/>
  <c r="N352" i="5"/>
  <c r="J352" i="5"/>
  <c r="L352" i="5" s="1"/>
  <c r="J412" i="5"/>
  <c r="L412" i="5" s="1"/>
  <c r="N412" i="5"/>
  <c r="J301" i="5"/>
  <c r="L301" i="5" s="1"/>
  <c r="N301" i="5"/>
  <c r="N397" i="5"/>
  <c r="J397" i="5"/>
  <c r="L397" i="5" s="1"/>
  <c r="J316" i="5"/>
  <c r="L316" i="5" s="1"/>
  <c r="N316" i="5"/>
  <c r="N330" i="5"/>
  <c r="J330" i="5"/>
  <c r="L330" i="5" s="1"/>
  <c r="J381" i="5"/>
  <c r="L381" i="5" s="1"/>
  <c r="N381" i="5"/>
  <c r="N404" i="5"/>
  <c r="J404" i="5"/>
  <c r="L404" i="5" s="1"/>
  <c r="J345" i="5"/>
  <c r="L345" i="5" s="1"/>
  <c r="N345" i="5"/>
  <c r="N365" i="5"/>
  <c r="J365" i="5"/>
  <c r="L365" i="5" s="1"/>
  <c r="N417" i="5"/>
  <c r="J417" i="5"/>
  <c r="L417" i="5" s="1"/>
  <c r="J429" i="5"/>
  <c r="L429" i="5" s="1"/>
  <c r="N429" i="5"/>
  <c r="N453" i="5"/>
  <c r="J453" i="5"/>
  <c r="L453" i="5" s="1"/>
  <c r="J423" i="5"/>
  <c r="L423" i="5" s="1"/>
  <c r="N423" i="5"/>
  <c r="O447" i="5"/>
  <c r="J335" i="5"/>
  <c r="L335" i="5" s="1"/>
  <c r="N335" i="5"/>
  <c r="N314" i="5"/>
  <c r="J314" i="5"/>
  <c r="L314" i="5" s="1"/>
  <c r="N343" i="5"/>
  <c r="J343" i="5"/>
  <c r="L343" i="5" s="1"/>
  <c r="N350" i="5"/>
  <c r="J350" i="5"/>
  <c r="L350" i="5" s="1"/>
  <c r="N321" i="5"/>
  <c r="J321" i="5"/>
  <c r="L321" i="5" s="1"/>
  <c r="J307" i="5"/>
  <c r="L307" i="5" s="1"/>
  <c r="N307" i="5"/>
  <c r="J328" i="5"/>
  <c r="L328" i="5" s="1"/>
  <c r="N328" i="5"/>
  <c r="N292" i="5"/>
  <c r="J292" i="5"/>
  <c r="L292" i="5" s="1"/>
  <c r="N387" i="5"/>
  <c r="J387" i="5"/>
  <c r="L387" i="5" s="1"/>
  <c r="O387" i="5" s="1"/>
  <c r="N402" i="5"/>
  <c r="J402" i="5"/>
  <c r="L402" i="5" s="1"/>
  <c r="N441" i="5"/>
  <c r="J441" i="5"/>
  <c r="L441" i="5" s="1"/>
  <c r="N410" i="5"/>
  <c r="J410" i="5"/>
  <c r="L410" i="5" s="1"/>
  <c r="N372" i="5"/>
  <c r="J372" i="5"/>
  <c r="L372" i="5" s="1"/>
  <c r="O372" i="5" s="1"/>
  <c r="J379" i="5"/>
  <c r="L379" i="5" s="1"/>
  <c r="N379" i="5"/>
  <c r="N395" i="5"/>
  <c r="J395" i="5"/>
  <c r="L395" i="5" s="1"/>
  <c r="N435" i="5"/>
  <c r="J435" i="5"/>
  <c r="L435" i="5" s="1"/>
  <c r="N215" i="5"/>
  <c r="J215" i="5"/>
  <c r="L215" i="5" s="1"/>
  <c r="O215" i="5" s="1"/>
  <c r="N243" i="5"/>
  <c r="J243" i="5"/>
  <c r="L243" i="5" s="1"/>
  <c r="N257" i="5"/>
  <c r="J257" i="5"/>
  <c r="L257" i="5" s="1"/>
  <c r="N236" i="5"/>
  <c r="J236" i="5"/>
  <c r="L236" i="5" s="1"/>
  <c r="J264" i="5"/>
  <c r="L264" i="5" s="1"/>
  <c r="N264" i="5"/>
  <c r="N271" i="5"/>
  <c r="J271" i="5"/>
  <c r="L271" i="5" s="1"/>
  <c r="J208" i="5"/>
  <c r="L208" i="5" s="1"/>
  <c r="N208" i="5"/>
  <c r="N229" i="5"/>
  <c r="J229" i="5"/>
  <c r="L229" i="5" s="1"/>
  <c r="N194" i="5"/>
  <c r="J194" i="5"/>
  <c r="L194" i="5" s="1"/>
  <c r="N187" i="5"/>
  <c r="J187" i="5"/>
  <c r="L187" i="5" s="1"/>
  <c r="J250" i="5"/>
  <c r="L250" i="5" s="1"/>
  <c r="N250" i="5"/>
  <c r="J222" i="5"/>
  <c r="L222" i="5" s="1"/>
  <c r="N222" i="5"/>
  <c r="N366" i="5"/>
  <c r="J366" i="5"/>
  <c r="L366" i="5" s="1"/>
  <c r="J430" i="5"/>
  <c r="L430" i="5" s="1"/>
  <c r="N430" i="5"/>
  <c r="N351" i="5"/>
  <c r="J351" i="5"/>
  <c r="L351" i="5" s="1"/>
  <c r="O263" i="5"/>
  <c r="J315" i="5"/>
  <c r="L315" i="5" s="1"/>
  <c r="N315" i="5"/>
  <c r="N448" i="5"/>
  <c r="J448" i="5"/>
  <c r="L448" i="5" s="1"/>
  <c r="N418" i="5"/>
  <c r="J418" i="5"/>
  <c r="L418" i="5" s="1"/>
  <c r="J344" i="5"/>
  <c r="L344" i="5" s="1"/>
  <c r="N344" i="5"/>
  <c r="J322" i="5"/>
  <c r="L322" i="5" s="1"/>
  <c r="N322" i="5"/>
  <c r="J308" i="5"/>
  <c r="L308" i="5" s="1"/>
  <c r="N308" i="5"/>
  <c r="N329" i="5"/>
  <c r="J329" i="5"/>
  <c r="L329" i="5" s="1"/>
  <c r="N336" i="5"/>
  <c r="J336" i="5"/>
  <c r="L336" i="5" s="1"/>
  <c r="J424" i="5"/>
  <c r="L424" i="5" s="1"/>
  <c r="N424" i="5"/>
  <c r="N454" i="5"/>
  <c r="J454" i="5"/>
  <c r="L454" i="5" s="1"/>
  <c r="N230" i="5"/>
  <c r="J230" i="5"/>
  <c r="L230" i="5" s="1"/>
  <c r="N244" i="5"/>
  <c r="J244" i="5"/>
  <c r="L244" i="5" s="1"/>
  <c r="N403" i="5"/>
  <c r="J403" i="5"/>
  <c r="L403" i="5" s="1"/>
  <c r="N195" i="5"/>
  <c r="J195" i="5"/>
  <c r="L195" i="5" s="1"/>
  <c r="N223" i="5"/>
  <c r="J223" i="5"/>
  <c r="L223" i="5" s="1"/>
  <c r="O452" i="5"/>
  <c r="N396" i="5"/>
  <c r="J396" i="5"/>
  <c r="L396" i="5" s="1"/>
  <c r="N411" i="5"/>
  <c r="J411" i="5"/>
  <c r="L411" i="5" s="1"/>
  <c r="J272" i="5"/>
  <c r="L272" i="5" s="1"/>
  <c r="N272" i="5"/>
  <c r="N258" i="5"/>
  <c r="J258" i="5"/>
  <c r="L258" i="5" s="1"/>
  <c r="J373" i="5"/>
  <c r="L373" i="5" s="1"/>
  <c r="N373" i="5"/>
  <c r="N380" i="5"/>
  <c r="J380" i="5"/>
  <c r="L380" i="5" s="1"/>
  <c r="N442" i="5"/>
  <c r="J442" i="5"/>
  <c r="L442" i="5" s="1"/>
  <c r="N188" i="5"/>
  <c r="J188" i="5"/>
  <c r="L188" i="5" s="1"/>
  <c r="N237" i="5"/>
  <c r="J237" i="5"/>
  <c r="L237" i="5" s="1"/>
  <c r="N293" i="5"/>
  <c r="J293" i="5"/>
  <c r="L293" i="5" s="1"/>
  <c r="J216" i="5"/>
  <c r="L216" i="5" s="1"/>
  <c r="N216" i="5"/>
  <c r="J209" i="5"/>
  <c r="L209" i="5" s="1"/>
  <c r="N209" i="5"/>
  <c r="N251" i="5"/>
  <c r="J251" i="5"/>
  <c r="L251" i="5" s="1"/>
  <c r="J265" i="5"/>
  <c r="L265" i="5" s="1"/>
  <c r="N265" i="5"/>
  <c r="N388" i="5"/>
  <c r="J388" i="5"/>
  <c r="L388" i="5" s="1"/>
  <c r="N436" i="5"/>
  <c r="J436" i="5"/>
  <c r="L436" i="5" s="1"/>
  <c r="O440" i="5"/>
  <c r="N334" i="5"/>
  <c r="J334" i="5"/>
  <c r="L334" i="5" s="1"/>
  <c r="N401" i="5"/>
  <c r="J401" i="5"/>
  <c r="L401" i="5" s="1"/>
  <c r="J408" i="5"/>
  <c r="L408" i="5" s="1"/>
  <c r="N408" i="5"/>
  <c r="N327" i="5"/>
  <c r="J327" i="5"/>
  <c r="L327" i="5" s="1"/>
  <c r="N378" i="5"/>
  <c r="J378" i="5"/>
  <c r="L378" i="5" s="1"/>
  <c r="N428" i="5"/>
  <c r="J428" i="5"/>
  <c r="L428" i="5" s="1"/>
  <c r="N385" i="5"/>
  <c r="J385" i="5"/>
  <c r="L385" i="5" s="1"/>
  <c r="N193" i="5"/>
  <c r="J193" i="5"/>
  <c r="L193" i="5" s="1"/>
  <c r="N320" i="5"/>
  <c r="J320" i="5"/>
  <c r="L320" i="5" s="1"/>
  <c r="N371" i="5"/>
  <c r="J371" i="5"/>
  <c r="L371" i="5" s="1"/>
  <c r="N242" i="5"/>
  <c r="J242" i="5"/>
  <c r="L242" i="5" s="1"/>
  <c r="N221" i="5"/>
  <c r="J221" i="5"/>
  <c r="L221" i="5" s="1"/>
  <c r="N235" i="5"/>
  <c r="J235" i="5"/>
  <c r="L235" i="5" s="1"/>
  <c r="N446" i="5"/>
  <c r="J446" i="5"/>
  <c r="L446" i="5" s="1"/>
  <c r="J186" i="5"/>
  <c r="L186" i="5" s="1"/>
  <c r="N186" i="5"/>
  <c r="J341" i="5"/>
  <c r="L341" i="5" s="1"/>
  <c r="N341" i="5"/>
  <c r="N393" i="5"/>
  <c r="J393" i="5"/>
  <c r="L393" i="5" s="1"/>
  <c r="J422" i="5"/>
  <c r="L422" i="5" s="1"/>
  <c r="N422" i="5"/>
  <c r="N249" i="5"/>
  <c r="J249" i="5"/>
  <c r="L249" i="5" s="1"/>
  <c r="N305" i="5"/>
  <c r="J305" i="5"/>
  <c r="L305" i="5" s="1"/>
  <c r="J363" i="5"/>
  <c r="L363" i="5" s="1"/>
  <c r="N363" i="5"/>
  <c r="N416" i="5"/>
  <c r="J416" i="5"/>
  <c r="L416" i="5" s="1"/>
  <c r="J386" i="5"/>
  <c r="L386" i="5" s="1"/>
  <c r="N386" i="5"/>
  <c r="N409" i="5"/>
  <c r="J409" i="5"/>
  <c r="L409" i="5" s="1"/>
  <c r="N207" i="5"/>
  <c r="J207" i="5"/>
  <c r="L207" i="5" s="1"/>
  <c r="O207" i="5" s="1"/>
  <c r="J270" i="5"/>
  <c r="L270" i="5" s="1"/>
  <c r="N270" i="5"/>
  <c r="N214" i="5"/>
  <c r="J214" i="5"/>
  <c r="L214" i="5" s="1"/>
  <c r="N394" i="5"/>
  <c r="J394" i="5"/>
  <c r="L394" i="5" s="1"/>
  <c r="N342" i="5"/>
  <c r="J342" i="5"/>
  <c r="L342" i="5" s="1"/>
  <c r="O342" i="5" s="1"/>
  <c r="N291" i="5"/>
  <c r="J291" i="5"/>
  <c r="L291" i="5" s="1"/>
  <c r="J228" i="5"/>
  <c r="L228" i="5" s="1"/>
  <c r="N228" i="5"/>
  <c r="J256" i="5"/>
  <c r="L256" i="5" s="1"/>
  <c r="N256" i="5"/>
  <c r="N349" i="5"/>
  <c r="J349" i="5"/>
  <c r="L349" i="5" s="1"/>
  <c r="J313" i="5"/>
  <c r="L313" i="5" s="1"/>
  <c r="N313" i="5"/>
  <c r="N364" i="5"/>
  <c r="J364" i="5"/>
  <c r="L364" i="5" s="1"/>
  <c r="N306" i="5"/>
  <c r="J306" i="5"/>
  <c r="L306" i="5" s="1"/>
  <c r="N83" i="5"/>
  <c r="O83" i="5" s="1"/>
  <c r="E84" i="5"/>
  <c r="F84" i="5"/>
  <c r="F302" i="5"/>
  <c r="E302" i="5"/>
  <c r="F300" i="5"/>
  <c r="F299" i="5"/>
  <c r="E299" i="5"/>
  <c r="F298" i="5"/>
  <c r="E360" i="5"/>
  <c r="E359" i="5"/>
  <c r="F360" i="5"/>
  <c r="F359" i="5"/>
  <c r="F358" i="5"/>
  <c r="F357" i="5"/>
  <c r="E357" i="5"/>
  <c r="F356" i="5"/>
  <c r="E287" i="5"/>
  <c r="E284" i="5"/>
  <c r="E280" i="5"/>
  <c r="E277" i="5"/>
  <c r="F288" i="5"/>
  <c r="E288" i="5"/>
  <c r="F287" i="5"/>
  <c r="F286" i="5"/>
  <c r="E286" i="5"/>
  <c r="F285" i="5"/>
  <c r="E285" i="5"/>
  <c r="F284" i="5"/>
  <c r="F281" i="5"/>
  <c r="E281" i="5"/>
  <c r="F280" i="5"/>
  <c r="F279" i="5"/>
  <c r="E279" i="5"/>
  <c r="F278" i="5"/>
  <c r="E278" i="5"/>
  <c r="F277" i="5"/>
  <c r="E204" i="5"/>
  <c r="E203" i="5"/>
  <c r="E202" i="5"/>
  <c r="E201" i="5"/>
  <c r="E200" i="5"/>
  <c r="F136" i="5"/>
  <c r="G136" i="5" s="1"/>
  <c r="E641" i="5"/>
  <c r="E669" i="5"/>
  <c r="F669" i="5"/>
  <c r="F668" i="5"/>
  <c r="G668" i="5" s="1"/>
  <c r="F522" i="5"/>
  <c r="G522" i="5" s="1"/>
  <c r="F523" i="5"/>
  <c r="G523" i="5" s="1"/>
  <c r="F524" i="5"/>
  <c r="G524" i="5" s="1"/>
  <c r="F513" i="5"/>
  <c r="G513" i="5" s="1"/>
  <c r="F512" i="5"/>
  <c r="G512" i="5" s="1"/>
  <c r="F511" i="5"/>
  <c r="G511" i="5" s="1"/>
  <c r="F510" i="5"/>
  <c r="G510" i="5" s="1"/>
  <c r="F509" i="5"/>
  <c r="G509" i="5" s="1"/>
  <c r="F508" i="5"/>
  <c r="G508" i="5" s="1"/>
  <c r="F514" i="5"/>
  <c r="G514" i="5" s="1"/>
  <c r="E76" i="5"/>
  <c r="F132" i="5"/>
  <c r="G132" i="5" s="1"/>
  <c r="E79" i="5"/>
  <c r="E49" i="5"/>
  <c r="F49" i="5"/>
  <c r="F554" i="5"/>
  <c r="G554" i="5" s="1"/>
  <c r="F675" i="5"/>
  <c r="G675" i="5" s="1"/>
  <c r="F680" i="5"/>
  <c r="G680" i="5" s="1"/>
  <c r="F681" i="5"/>
  <c r="G681" i="5" s="1"/>
  <c r="F682" i="5"/>
  <c r="G682" i="5" s="1"/>
  <c r="F683" i="5"/>
  <c r="G683" i="5" s="1"/>
  <c r="F684" i="5"/>
  <c r="G684" i="5" s="1"/>
  <c r="F677" i="5"/>
  <c r="G677" i="5" s="1"/>
  <c r="E664" i="5"/>
  <c r="E661" i="5"/>
  <c r="E657" i="5"/>
  <c r="E654" i="5"/>
  <c r="E651" i="5"/>
  <c r="E665" i="5"/>
  <c r="E662" i="5"/>
  <c r="F662" i="5"/>
  <c r="E658" i="5"/>
  <c r="E655" i="5"/>
  <c r="E652" i="5"/>
  <c r="F652" i="5"/>
  <c r="F655" i="5"/>
  <c r="E648" i="5"/>
  <c r="E647" i="5"/>
  <c r="F673" i="5"/>
  <c r="G673" i="5" s="1"/>
  <c r="F674" i="5"/>
  <c r="G674" i="5" s="1"/>
  <c r="F648" i="5"/>
  <c r="F651" i="5"/>
  <c r="F654" i="5"/>
  <c r="F657" i="5"/>
  <c r="F658" i="5"/>
  <c r="F661" i="5"/>
  <c r="F664" i="5"/>
  <c r="F665" i="5"/>
  <c r="E486" i="5"/>
  <c r="F487" i="5"/>
  <c r="G487" i="5" s="1"/>
  <c r="E470" i="5"/>
  <c r="E82" i="5"/>
  <c r="E466" i="5"/>
  <c r="E465" i="5"/>
  <c r="E471" i="5"/>
  <c r="F466" i="5"/>
  <c r="F468" i="5"/>
  <c r="G468" i="5" s="1"/>
  <c r="E57" i="5"/>
  <c r="E56" i="5"/>
  <c r="F57" i="5"/>
  <c r="E47" i="5"/>
  <c r="F47" i="5"/>
  <c r="F56" i="5"/>
  <c r="E46" i="5"/>
  <c r="E45" i="5"/>
  <c r="A19" i="5"/>
  <c r="E44" i="5"/>
  <c r="E41" i="5"/>
  <c r="E40" i="5"/>
  <c r="E36" i="5"/>
  <c r="E33" i="5"/>
  <c r="E29" i="5"/>
  <c r="E26" i="5"/>
  <c r="E23" i="5"/>
  <c r="E20" i="5"/>
  <c r="E17" i="5"/>
  <c r="E37" i="5"/>
  <c r="F37" i="5"/>
  <c r="E34" i="5"/>
  <c r="F34" i="5"/>
  <c r="E30" i="5"/>
  <c r="E27" i="5"/>
  <c r="E24" i="5"/>
  <c r="E21" i="5"/>
  <c r="E18" i="5"/>
  <c r="F30" i="5"/>
  <c r="F27" i="5"/>
  <c r="F24" i="5"/>
  <c r="F21" i="5"/>
  <c r="F18" i="5"/>
  <c r="E70" i="5"/>
  <c r="F581" i="5"/>
  <c r="G581" i="5" s="1"/>
  <c r="F108" i="5"/>
  <c r="G108" i="5" s="1"/>
  <c r="F109" i="5"/>
  <c r="G109" i="5" s="1"/>
  <c r="F110" i="5"/>
  <c r="G110" i="5" s="1"/>
  <c r="F111" i="5"/>
  <c r="G111" i="5" s="1"/>
  <c r="F113" i="5"/>
  <c r="G113" i="5" s="1"/>
  <c r="F114" i="5"/>
  <c r="G114" i="5" s="1"/>
  <c r="F116" i="5"/>
  <c r="G116" i="5" s="1"/>
  <c r="F117" i="5"/>
  <c r="G117" i="5" s="1"/>
  <c r="F124" i="5"/>
  <c r="G124" i="5" s="1"/>
  <c r="F126" i="5"/>
  <c r="G126" i="5" s="1"/>
  <c r="F127" i="5"/>
  <c r="G127" i="5" s="1"/>
  <c r="F128" i="5"/>
  <c r="G128" i="5" s="1"/>
  <c r="F603" i="5"/>
  <c r="G603" i="5" s="1"/>
  <c r="F604" i="5"/>
  <c r="G604" i="5" s="1"/>
  <c r="F118" i="5"/>
  <c r="G118" i="5" s="1"/>
  <c r="F119" i="5"/>
  <c r="G119" i="5" s="1"/>
  <c r="F140" i="5"/>
  <c r="G140" i="5" s="1"/>
  <c r="F139" i="5"/>
  <c r="G139" i="5" s="1"/>
  <c r="F135" i="5"/>
  <c r="G135" i="5" s="1"/>
  <c r="F131" i="5"/>
  <c r="G131" i="5" s="1"/>
  <c r="F123" i="5"/>
  <c r="G123" i="5" s="1"/>
  <c r="F122" i="5"/>
  <c r="G122" i="5" s="1"/>
  <c r="F107" i="5"/>
  <c r="G107" i="5" s="1"/>
  <c r="E102" i="5"/>
  <c r="E101" i="5"/>
  <c r="E73" i="5"/>
  <c r="F73" i="5"/>
  <c r="F76" i="5"/>
  <c r="F79" i="5"/>
  <c r="F82" i="5"/>
  <c r="F87" i="5"/>
  <c r="G87" i="5" s="1"/>
  <c r="F88" i="5"/>
  <c r="G88" i="5" s="1"/>
  <c r="F89" i="5"/>
  <c r="G89" i="5" s="1"/>
  <c r="F92" i="5"/>
  <c r="G92" i="5" s="1"/>
  <c r="F93" i="5"/>
  <c r="G93" i="5" s="1"/>
  <c r="F97" i="5"/>
  <c r="G97" i="5" s="1"/>
  <c r="F98" i="5"/>
  <c r="G98" i="5" s="1"/>
  <c r="F101" i="5"/>
  <c r="F102" i="5"/>
  <c r="E62" i="5"/>
  <c r="F517" i="5"/>
  <c r="G517" i="5" s="1"/>
  <c r="F565" i="5"/>
  <c r="G565" i="5" s="1"/>
  <c r="F566" i="5"/>
  <c r="G566" i="5" s="1"/>
  <c r="F567" i="5"/>
  <c r="G567" i="5" s="1"/>
  <c r="F568" i="5"/>
  <c r="G568" i="5" s="1"/>
  <c r="F569" i="5"/>
  <c r="G569" i="5" s="1"/>
  <c r="F570" i="5"/>
  <c r="G570" i="5" s="1"/>
  <c r="F571" i="5"/>
  <c r="G571" i="5" s="1"/>
  <c r="F572" i="5"/>
  <c r="G572" i="5" s="1"/>
  <c r="F573" i="5"/>
  <c r="G573" i="5" s="1"/>
  <c r="F592" i="5"/>
  <c r="G592" i="5" s="1"/>
  <c r="F593" i="5"/>
  <c r="G593" i="5" s="1"/>
  <c r="E560" i="5"/>
  <c r="F536" i="5"/>
  <c r="G536" i="5" s="1"/>
  <c r="F537" i="5"/>
  <c r="G537" i="5" s="1"/>
  <c r="F538" i="5"/>
  <c r="G538" i="5" s="1"/>
  <c r="F539" i="5"/>
  <c r="G539" i="5" s="1"/>
  <c r="F552" i="5"/>
  <c r="G552" i="5" s="1"/>
  <c r="F596" i="5"/>
  <c r="G596" i="5" s="1"/>
  <c r="F597" i="5"/>
  <c r="G597" i="5" s="1"/>
  <c r="F598" i="5"/>
  <c r="G598" i="5" s="1"/>
  <c r="F599" i="5"/>
  <c r="G599" i="5" s="1"/>
  <c r="F600" i="5"/>
  <c r="G600" i="5" s="1"/>
  <c r="F547" i="5"/>
  <c r="G547" i="5" s="1"/>
  <c r="F548" i="5"/>
  <c r="G548" i="5" s="1"/>
  <c r="F549" i="5"/>
  <c r="G549" i="5" s="1"/>
  <c r="F550" i="5"/>
  <c r="G550" i="5" s="1"/>
  <c r="F590" i="5"/>
  <c r="G590" i="5" s="1"/>
  <c r="F591" i="5"/>
  <c r="G591" i="5" s="1"/>
  <c r="F594" i="5"/>
  <c r="G594" i="5" s="1"/>
  <c r="F595" i="5"/>
  <c r="G595" i="5" s="1"/>
  <c r="F553" i="5"/>
  <c r="G553" i="5" s="1"/>
  <c r="F555" i="5"/>
  <c r="G555" i="5" s="1"/>
  <c r="F564" i="5"/>
  <c r="G564" i="5" s="1"/>
  <c r="F574" i="5"/>
  <c r="G574" i="5" s="1"/>
  <c r="F575" i="5"/>
  <c r="G575" i="5" s="1"/>
  <c r="F577" i="5"/>
  <c r="G577" i="5" s="1"/>
  <c r="F589" i="5"/>
  <c r="G589" i="5" s="1"/>
  <c r="E635" i="5"/>
  <c r="E636" i="5" s="1"/>
  <c r="F688" i="5"/>
  <c r="G688" i="5" s="1"/>
  <c r="F689" i="5"/>
  <c r="G689" i="5" s="1"/>
  <c r="F690" i="5"/>
  <c r="G690" i="5" s="1"/>
  <c r="F687" i="5"/>
  <c r="G687" i="5" s="1"/>
  <c r="F672" i="5"/>
  <c r="G672" i="5" s="1"/>
  <c r="F647" i="5"/>
  <c r="F163" i="5"/>
  <c r="G163" i="5" s="1"/>
  <c r="F164" i="5"/>
  <c r="G164" i="5" s="1"/>
  <c r="F165" i="5"/>
  <c r="G165" i="5" s="1"/>
  <c r="F166" i="5"/>
  <c r="G166" i="5" s="1"/>
  <c r="F167" i="5"/>
  <c r="G167" i="5" s="1"/>
  <c r="F168" i="5"/>
  <c r="G168" i="5" s="1"/>
  <c r="F169" i="5"/>
  <c r="G169" i="5" s="1"/>
  <c r="F170" i="5"/>
  <c r="G170" i="5" s="1"/>
  <c r="F171" i="5"/>
  <c r="G171" i="5" s="1"/>
  <c r="F172" i="5"/>
  <c r="G172" i="5" s="1"/>
  <c r="F173" i="5"/>
  <c r="G173" i="5" s="1"/>
  <c r="F174" i="5"/>
  <c r="G174" i="5" s="1"/>
  <c r="F175" i="5"/>
  <c r="G175" i="5" s="1"/>
  <c r="F176" i="5"/>
  <c r="G176" i="5" s="1"/>
  <c r="F177" i="5"/>
  <c r="G177" i="5" s="1"/>
  <c r="F178" i="5"/>
  <c r="G178" i="5" s="1"/>
  <c r="F179" i="5"/>
  <c r="G179" i="5" s="1"/>
  <c r="F479" i="5"/>
  <c r="G479" i="5" s="1"/>
  <c r="F480" i="5"/>
  <c r="G480" i="5" s="1"/>
  <c r="F481" i="5"/>
  <c r="G481" i="5" s="1"/>
  <c r="F482" i="5"/>
  <c r="G482" i="5" s="1"/>
  <c r="F483" i="5"/>
  <c r="G483" i="5" s="1"/>
  <c r="F20" i="5"/>
  <c r="F23" i="5"/>
  <c r="F26" i="5"/>
  <c r="F29" i="5"/>
  <c r="F33" i="5"/>
  <c r="F36" i="5"/>
  <c r="F40" i="5"/>
  <c r="F41" i="5"/>
  <c r="F44" i="5"/>
  <c r="F45" i="5"/>
  <c r="F46" i="5"/>
  <c r="F52" i="5"/>
  <c r="G52" i="5" s="1"/>
  <c r="A34" i="5" l="1"/>
  <c r="A36" i="5"/>
  <c r="O321" i="5"/>
  <c r="O210" i="5"/>
  <c r="O252" i="5"/>
  <c r="O224" i="5"/>
  <c r="O238" i="5"/>
  <c r="O259" i="5"/>
  <c r="O294" i="5"/>
  <c r="O231" i="5"/>
  <c r="O337" i="5"/>
  <c r="O309" i="5"/>
  <c r="O346" i="5"/>
  <c r="O419" i="5"/>
  <c r="O193" i="5"/>
  <c r="O327" i="5"/>
  <c r="O244" i="5"/>
  <c r="O336" i="5"/>
  <c r="O236" i="5"/>
  <c r="O435" i="5"/>
  <c r="O410" i="5"/>
  <c r="O292" i="5"/>
  <c r="O350" i="5"/>
  <c r="O455" i="5"/>
  <c r="O413" i="5"/>
  <c r="O449" i="5"/>
  <c r="O211" i="5"/>
  <c r="O423" i="5"/>
  <c r="O443" i="5"/>
  <c r="O324" i="5"/>
  <c r="O390" i="5"/>
  <c r="O352" i="5"/>
  <c r="O323" i="5"/>
  <c r="O425" i="5"/>
  <c r="O260" i="5"/>
  <c r="O331" i="5"/>
  <c r="O225" i="5"/>
  <c r="O232" i="5"/>
  <c r="O382" i="5"/>
  <c r="O398" i="5"/>
  <c r="O222" i="5"/>
  <c r="O330" i="5"/>
  <c r="O246" i="5"/>
  <c r="O267" i="5"/>
  <c r="O404" i="5"/>
  <c r="O397" i="5"/>
  <c r="O374" i="5"/>
  <c r="O367" i="5"/>
  <c r="O274" i="5"/>
  <c r="O190" i="5"/>
  <c r="O239" i="5"/>
  <c r="O218" i="5"/>
  <c r="O389" i="5"/>
  <c r="O366" i="5"/>
  <c r="O194" i="5"/>
  <c r="O345" i="5"/>
  <c r="O316" i="5"/>
  <c r="O412" i="5"/>
  <c r="O381" i="5"/>
  <c r="O301" i="5"/>
  <c r="O417" i="5"/>
  <c r="O453" i="5"/>
  <c r="O429" i="5"/>
  <c r="O307" i="5"/>
  <c r="O365" i="5"/>
  <c r="O257" i="5"/>
  <c r="O395" i="5"/>
  <c r="O441" i="5"/>
  <c r="O343" i="5"/>
  <c r="O328" i="5"/>
  <c r="O428" i="5"/>
  <c r="O271" i="5"/>
  <c r="O243" i="5"/>
  <c r="O402" i="5"/>
  <c r="O314" i="5"/>
  <c r="O335" i="5"/>
  <c r="O379" i="5"/>
  <c r="O424" i="5"/>
  <c r="O322" i="5"/>
  <c r="O315" i="5"/>
  <c r="O364" i="5"/>
  <c r="O214" i="5"/>
  <c r="O436" i="5"/>
  <c r="O188" i="5"/>
  <c r="O258" i="5"/>
  <c r="O351" i="5"/>
  <c r="O291" i="5"/>
  <c r="O187" i="5"/>
  <c r="O208" i="5"/>
  <c r="O250" i="5"/>
  <c r="O308" i="5"/>
  <c r="O394" i="5"/>
  <c r="O409" i="5"/>
  <c r="O251" i="5"/>
  <c r="O237" i="5"/>
  <c r="O396" i="5"/>
  <c r="O229" i="5"/>
  <c r="O264" i="5"/>
  <c r="O344" i="5"/>
  <c r="O306" i="5"/>
  <c r="O186" i="5"/>
  <c r="O385" i="5"/>
  <c r="O223" i="5"/>
  <c r="O230" i="5"/>
  <c r="O329" i="5"/>
  <c r="O418" i="5"/>
  <c r="O313" i="5"/>
  <c r="O401" i="5"/>
  <c r="O216" i="5"/>
  <c r="O272" i="5"/>
  <c r="O195" i="5"/>
  <c r="O454" i="5"/>
  <c r="O448" i="5"/>
  <c r="O430" i="5"/>
  <c r="O256" i="5"/>
  <c r="O320" i="5"/>
  <c r="O378" i="5"/>
  <c r="O334" i="5"/>
  <c r="O265" i="5"/>
  <c r="O403" i="5"/>
  <c r="O393" i="5"/>
  <c r="O293" i="5"/>
  <c r="O380" i="5"/>
  <c r="O411" i="5"/>
  <c r="O341" i="5"/>
  <c r="O373" i="5"/>
  <c r="O209" i="5"/>
  <c r="O416" i="5"/>
  <c r="O446" i="5"/>
  <c r="O371" i="5"/>
  <c r="O388" i="5"/>
  <c r="O442" i="5"/>
  <c r="O249" i="5"/>
  <c r="O242" i="5"/>
  <c r="O422" i="5"/>
  <c r="O408" i="5"/>
  <c r="O235" i="5"/>
  <c r="O363" i="5"/>
  <c r="O305" i="5"/>
  <c r="O221" i="5"/>
  <c r="O349" i="5"/>
  <c r="O270" i="5"/>
  <c r="O228" i="5"/>
  <c r="O386" i="5"/>
  <c r="G298" i="5"/>
  <c r="G288" i="5"/>
  <c r="J684" i="5"/>
  <c r="L684" i="5" s="1"/>
  <c r="N684" i="5"/>
  <c r="N683" i="5"/>
  <c r="J683" i="5"/>
  <c r="L683" i="5" s="1"/>
  <c r="G280" i="5"/>
  <c r="N682" i="5"/>
  <c r="J682" i="5"/>
  <c r="L682" i="5" s="1"/>
  <c r="J680" i="5"/>
  <c r="L680" i="5" s="1"/>
  <c r="N680" i="5"/>
  <c r="N681" i="5"/>
  <c r="J681" i="5"/>
  <c r="L681" i="5" s="1"/>
  <c r="N572" i="5"/>
  <c r="J572" i="5"/>
  <c r="L572" i="5" s="1"/>
  <c r="N600" i="5"/>
  <c r="J600" i="5"/>
  <c r="L600" i="5" s="1"/>
  <c r="N524" i="5"/>
  <c r="J524" i="5"/>
  <c r="L524" i="5" s="1"/>
  <c r="N589" i="5"/>
  <c r="J589" i="5"/>
  <c r="L589" i="5" s="1"/>
  <c r="J594" i="5"/>
  <c r="L594" i="5" s="1"/>
  <c r="N594" i="5"/>
  <c r="J599" i="5"/>
  <c r="L599" i="5" s="1"/>
  <c r="N599" i="5"/>
  <c r="N536" i="5"/>
  <c r="J536" i="5"/>
  <c r="L536" i="5" s="1"/>
  <c r="N569" i="5"/>
  <c r="J569" i="5"/>
  <c r="L569" i="5" s="1"/>
  <c r="N604" i="5"/>
  <c r="J604" i="5"/>
  <c r="L604" i="5" s="1"/>
  <c r="N487" i="5"/>
  <c r="J487" i="5"/>
  <c r="L487" i="5" s="1"/>
  <c r="J514" i="5"/>
  <c r="L514" i="5" s="1"/>
  <c r="N514" i="5"/>
  <c r="J523" i="5"/>
  <c r="L523" i="5" s="1"/>
  <c r="N523" i="5"/>
  <c r="N481" i="5"/>
  <c r="J481" i="5"/>
  <c r="L481" i="5" s="1"/>
  <c r="N555" i="5"/>
  <c r="J555" i="5"/>
  <c r="L555" i="5" s="1"/>
  <c r="N537" i="5"/>
  <c r="J537" i="5"/>
  <c r="L537" i="5" s="1"/>
  <c r="N577" i="5"/>
  <c r="J577" i="5"/>
  <c r="L577" i="5" s="1"/>
  <c r="J591" i="5"/>
  <c r="L591" i="5" s="1"/>
  <c r="N591" i="5"/>
  <c r="J598" i="5"/>
  <c r="L598" i="5" s="1"/>
  <c r="N598" i="5"/>
  <c r="N568" i="5"/>
  <c r="J568" i="5"/>
  <c r="L568" i="5" s="1"/>
  <c r="N603" i="5"/>
  <c r="J603" i="5"/>
  <c r="L603" i="5" s="1"/>
  <c r="N468" i="5"/>
  <c r="J468" i="5"/>
  <c r="L468" i="5" s="1"/>
  <c r="N675" i="5"/>
  <c r="J675" i="5"/>
  <c r="L675" i="5" s="1"/>
  <c r="N508" i="5"/>
  <c r="J508" i="5"/>
  <c r="L508" i="5" s="1"/>
  <c r="J522" i="5"/>
  <c r="L522" i="5" s="1"/>
  <c r="N522" i="5"/>
  <c r="N548" i="5"/>
  <c r="J548" i="5"/>
  <c r="L548" i="5" s="1"/>
  <c r="J479" i="5"/>
  <c r="L479" i="5" s="1"/>
  <c r="N479" i="5"/>
  <c r="J570" i="5"/>
  <c r="L570" i="5" s="1"/>
  <c r="N570" i="5"/>
  <c r="J672" i="5"/>
  <c r="L672" i="5" s="1"/>
  <c r="N672" i="5"/>
  <c r="N575" i="5"/>
  <c r="J575" i="5"/>
  <c r="L575" i="5" s="1"/>
  <c r="N590" i="5"/>
  <c r="J590" i="5"/>
  <c r="L590" i="5" s="1"/>
  <c r="N597" i="5"/>
  <c r="J597" i="5"/>
  <c r="L597" i="5" s="1"/>
  <c r="N593" i="5"/>
  <c r="J593" i="5"/>
  <c r="L593" i="5" s="1"/>
  <c r="N567" i="5"/>
  <c r="J567" i="5"/>
  <c r="L567" i="5" s="1"/>
  <c r="N674" i="5"/>
  <c r="J674" i="5"/>
  <c r="L674" i="5" s="1"/>
  <c r="N554" i="5"/>
  <c r="J554" i="5"/>
  <c r="L554" i="5" s="1"/>
  <c r="J509" i="5"/>
  <c r="L509" i="5" s="1"/>
  <c r="N509" i="5"/>
  <c r="N668" i="5"/>
  <c r="J668" i="5"/>
  <c r="L668" i="5" s="1"/>
  <c r="N689" i="5"/>
  <c r="J689" i="5"/>
  <c r="L689" i="5" s="1"/>
  <c r="J483" i="5"/>
  <c r="L483" i="5" s="1"/>
  <c r="N483" i="5"/>
  <c r="N687" i="5"/>
  <c r="J687" i="5"/>
  <c r="L687" i="5" s="1"/>
  <c r="J574" i="5"/>
  <c r="L574" i="5" s="1"/>
  <c r="N574" i="5"/>
  <c r="N550" i="5"/>
  <c r="J550" i="5"/>
  <c r="L550" i="5" s="1"/>
  <c r="N596" i="5"/>
  <c r="J596" i="5"/>
  <c r="L596" i="5" s="1"/>
  <c r="N592" i="5"/>
  <c r="J592" i="5"/>
  <c r="L592" i="5" s="1"/>
  <c r="J566" i="5"/>
  <c r="L566" i="5" s="1"/>
  <c r="N566" i="5"/>
  <c r="N673" i="5"/>
  <c r="J673" i="5"/>
  <c r="L673" i="5" s="1"/>
  <c r="N677" i="5"/>
  <c r="J677" i="5"/>
  <c r="L677" i="5" s="1"/>
  <c r="N510" i="5"/>
  <c r="J510" i="5"/>
  <c r="L510" i="5" s="1"/>
  <c r="N517" i="5"/>
  <c r="J517" i="5"/>
  <c r="L517" i="5" s="1"/>
  <c r="J595" i="5"/>
  <c r="L595" i="5" s="1"/>
  <c r="N595" i="5"/>
  <c r="N482" i="5"/>
  <c r="J482" i="5"/>
  <c r="L482" i="5" s="1"/>
  <c r="J690" i="5"/>
  <c r="L690" i="5" s="1"/>
  <c r="N690" i="5"/>
  <c r="N564" i="5"/>
  <c r="J564" i="5"/>
  <c r="L564" i="5" s="1"/>
  <c r="J549" i="5"/>
  <c r="L549" i="5" s="1"/>
  <c r="N549" i="5"/>
  <c r="J552" i="5"/>
  <c r="L552" i="5" s="1"/>
  <c r="N552" i="5"/>
  <c r="J573" i="5"/>
  <c r="L573" i="5" s="1"/>
  <c r="N573" i="5"/>
  <c r="J565" i="5"/>
  <c r="L565" i="5" s="1"/>
  <c r="N565" i="5"/>
  <c r="N511" i="5"/>
  <c r="J511" i="5"/>
  <c r="L511" i="5" s="1"/>
  <c r="N539" i="5"/>
  <c r="J539" i="5"/>
  <c r="L539" i="5" s="1"/>
  <c r="N512" i="5"/>
  <c r="J512" i="5"/>
  <c r="L512" i="5" s="1"/>
  <c r="N480" i="5"/>
  <c r="J480" i="5"/>
  <c r="L480" i="5" s="1"/>
  <c r="N688" i="5"/>
  <c r="J688" i="5"/>
  <c r="L688" i="5" s="1"/>
  <c r="J553" i="5"/>
  <c r="L553" i="5" s="1"/>
  <c r="N553" i="5"/>
  <c r="N547" i="5"/>
  <c r="J547" i="5"/>
  <c r="L547" i="5" s="1"/>
  <c r="J538" i="5"/>
  <c r="L538" i="5" s="1"/>
  <c r="N538" i="5"/>
  <c r="N571" i="5"/>
  <c r="J571" i="5"/>
  <c r="L571" i="5" s="1"/>
  <c r="J581" i="5"/>
  <c r="L581" i="5" s="1"/>
  <c r="N581" i="5"/>
  <c r="J513" i="5"/>
  <c r="L513" i="5" s="1"/>
  <c r="N513" i="5"/>
  <c r="N170" i="5"/>
  <c r="J170" i="5"/>
  <c r="L170" i="5" s="1"/>
  <c r="N113" i="5"/>
  <c r="J113" i="5"/>
  <c r="L113" i="5" s="1"/>
  <c r="J177" i="5"/>
  <c r="L177" i="5" s="1"/>
  <c r="N177" i="5"/>
  <c r="N168" i="5"/>
  <c r="J168" i="5"/>
  <c r="L168" i="5" s="1"/>
  <c r="J93" i="5"/>
  <c r="L93" i="5" s="1"/>
  <c r="N93" i="5"/>
  <c r="J135" i="5"/>
  <c r="L135" i="5" s="1"/>
  <c r="N135" i="5"/>
  <c r="N127" i="5"/>
  <c r="J127" i="5"/>
  <c r="L127" i="5" s="1"/>
  <c r="J110" i="5"/>
  <c r="L110" i="5" s="1"/>
  <c r="N110" i="5"/>
  <c r="J116" i="5"/>
  <c r="L116" i="5" s="1"/>
  <c r="N116" i="5"/>
  <c r="N123" i="5"/>
  <c r="J123" i="5"/>
  <c r="L123" i="5" s="1"/>
  <c r="N175" i="5"/>
  <c r="J175" i="5"/>
  <c r="L175" i="5" s="1"/>
  <c r="N167" i="5"/>
  <c r="J167" i="5"/>
  <c r="L167" i="5" s="1"/>
  <c r="J92" i="5"/>
  <c r="L92" i="5" s="1"/>
  <c r="N92" i="5"/>
  <c r="N139" i="5"/>
  <c r="J139" i="5"/>
  <c r="L139" i="5" s="1"/>
  <c r="N126" i="5"/>
  <c r="J126" i="5"/>
  <c r="L126" i="5" s="1"/>
  <c r="J109" i="5"/>
  <c r="L109" i="5" s="1"/>
  <c r="N109" i="5"/>
  <c r="J52" i="5"/>
  <c r="L52" i="5" s="1"/>
  <c r="N52" i="5"/>
  <c r="N164" i="5"/>
  <c r="J164" i="5"/>
  <c r="L164" i="5" s="1"/>
  <c r="J87" i="5"/>
  <c r="L87" i="5" s="1"/>
  <c r="N87" i="5"/>
  <c r="N98" i="5"/>
  <c r="J98" i="5"/>
  <c r="L98" i="5" s="1"/>
  <c r="N176" i="5"/>
  <c r="J176" i="5"/>
  <c r="L176" i="5" s="1"/>
  <c r="N174" i="5"/>
  <c r="J174" i="5"/>
  <c r="L174" i="5" s="1"/>
  <c r="N166" i="5"/>
  <c r="J166" i="5"/>
  <c r="L166" i="5" s="1"/>
  <c r="N89" i="5"/>
  <c r="J89" i="5"/>
  <c r="L89" i="5" s="1"/>
  <c r="N140" i="5"/>
  <c r="J140" i="5"/>
  <c r="L140" i="5" s="1"/>
  <c r="N124" i="5"/>
  <c r="J124" i="5"/>
  <c r="L124" i="5" s="1"/>
  <c r="N108" i="5"/>
  <c r="J108" i="5"/>
  <c r="L108" i="5" s="1"/>
  <c r="G84" i="5"/>
  <c r="N107" i="5"/>
  <c r="J107" i="5"/>
  <c r="L107" i="5" s="1"/>
  <c r="N178" i="5"/>
  <c r="J178" i="5"/>
  <c r="L178" i="5" s="1"/>
  <c r="J173" i="5"/>
  <c r="L173" i="5" s="1"/>
  <c r="N173" i="5"/>
  <c r="J165" i="5"/>
  <c r="L165" i="5" s="1"/>
  <c r="N165" i="5"/>
  <c r="N88" i="5"/>
  <c r="J88" i="5"/>
  <c r="L88" i="5" s="1"/>
  <c r="J119" i="5"/>
  <c r="L119" i="5" s="1"/>
  <c r="N119" i="5"/>
  <c r="N117" i="5"/>
  <c r="J117" i="5"/>
  <c r="L117" i="5" s="1"/>
  <c r="N118" i="5"/>
  <c r="J118" i="5"/>
  <c r="L118" i="5" s="1"/>
  <c r="N132" i="5"/>
  <c r="J132" i="5"/>
  <c r="L132" i="5" s="1"/>
  <c r="N136" i="5"/>
  <c r="J136" i="5"/>
  <c r="L136" i="5" s="1"/>
  <c r="N179" i="5"/>
  <c r="J179" i="5"/>
  <c r="L179" i="5" s="1"/>
  <c r="N171" i="5"/>
  <c r="J171" i="5"/>
  <c r="L171" i="5" s="1"/>
  <c r="N163" i="5"/>
  <c r="J163" i="5"/>
  <c r="L163" i="5" s="1"/>
  <c r="J122" i="5"/>
  <c r="L122" i="5" s="1"/>
  <c r="N122" i="5"/>
  <c r="J114" i="5"/>
  <c r="L114" i="5" s="1"/>
  <c r="N114" i="5"/>
  <c r="N172" i="5"/>
  <c r="J172" i="5"/>
  <c r="L172" i="5" s="1"/>
  <c r="J169" i="5"/>
  <c r="L169" i="5" s="1"/>
  <c r="N169" i="5"/>
  <c r="N97" i="5"/>
  <c r="J97" i="5"/>
  <c r="L97" i="5" s="1"/>
  <c r="N131" i="5"/>
  <c r="J131" i="5"/>
  <c r="L131" i="5" s="1"/>
  <c r="N128" i="5"/>
  <c r="J128" i="5"/>
  <c r="L128" i="5" s="1"/>
  <c r="N111" i="5"/>
  <c r="J111" i="5"/>
  <c r="L111" i="5" s="1"/>
  <c r="G299" i="5"/>
  <c r="G300" i="5"/>
  <c r="G302" i="5"/>
  <c r="G279" i="5"/>
  <c r="G357" i="5"/>
  <c r="G358" i="5"/>
  <c r="G359" i="5"/>
  <c r="G356" i="5"/>
  <c r="G360" i="5"/>
  <c r="G285" i="5"/>
  <c r="G284" i="5"/>
  <c r="G286" i="5"/>
  <c r="G287" i="5"/>
  <c r="G277" i="5"/>
  <c r="G281" i="5"/>
  <c r="G278" i="5"/>
  <c r="G669" i="5"/>
  <c r="G79" i="5"/>
  <c r="G76" i="5"/>
  <c r="G657" i="5"/>
  <c r="G33" i="5"/>
  <c r="G647" i="5"/>
  <c r="G661" i="5"/>
  <c r="G662" i="5"/>
  <c r="G47" i="5"/>
  <c r="G665" i="5"/>
  <c r="G654" i="5"/>
  <c r="G651" i="5"/>
  <c r="G49" i="5"/>
  <c r="G664" i="5"/>
  <c r="G658" i="5"/>
  <c r="G655" i="5"/>
  <c r="G652" i="5"/>
  <c r="G648" i="5"/>
  <c r="G82" i="5"/>
  <c r="G46" i="5"/>
  <c r="G466" i="5"/>
  <c r="G41" i="5"/>
  <c r="G36" i="5"/>
  <c r="G57" i="5"/>
  <c r="G56" i="5"/>
  <c r="G45" i="5"/>
  <c r="G40" i="5"/>
  <c r="G29" i="5"/>
  <c r="G26" i="5"/>
  <c r="G37" i="5"/>
  <c r="G44" i="5"/>
  <c r="G20" i="5"/>
  <c r="G23" i="5"/>
  <c r="G34" i="5"/>
  <c r="G30" i="5"/>
  <c r="G27" i="5"/>
  <c r="G24" i="5"/>
  <c r="G21" i="5"/>
  <c r="G18" i="5"/>
  <c r="G101" i="5"/>
  <c r="G102" i="5"/>
  <c r="G73" i="5"/>
  <c r="A14" i="5"/>
  <c r="A15" i="5"/>
  <c r="A16" i="5"/>
  <c r="A37" i="5" l="1"/>
  <c r="N287" i="5"/>
  <c r="J287" i="5"/>
  <c r="L287" i="5" s="1"/>
  <c r="N280" i="5"/>
  <c r="J280" i="5"/>
  <c r="L280" i="5" s="1"/>
  <c r="O280" i="5" s="1"/>
  <c r="J360" i="5"/>
  <c r="L360" i="5" s="1"/>
  <c r="N360" i="5"/>
  <c r="N281" i="5"/>
  <c r="J281" i="5"/>
  <c r="L281" i="5" s="1"/>
  <c r="J302" i="5"/>
  <c r="L302" i="5" s="1"/>
  <c r="N302" i="5"/>
  <c r="N288" i="5"/>
  <c r="J288" i="5"/>
  <c r="L288" i="5" s="1"/>
  <c r="O288" i="5" s="1"/>
  <c r="J358" i="5"/>
  <c r="L358" i="5" s="1"/>
  <c r="N358" i="5"/>
  <c r="N286" i="5"/>
  <c r="J286" i="5"/>
  <c r="L286" i="5" s="1"/>
  <c r="N279" i="5"/>
  <c r="J279" i="5"/>
  <c r="L279" i="5" s="1"/>
  <c r="N277" i="5"/>
  <c r="J277" i="5"/>
  <c r="L277" i="5" s="1"/>
  <c r="O277" i="5" s="1"/>
  <c r="N298" i="5"/>
  <c r="J298" i="5"/>
  <c r="L298" i="5" s="1"/>
  <c r="J284" i="5"/>
  <c r="L284" i="5" s="1"/>
  <c r="N284" i="5"/>
  <c r="N356" i="5"/>
  <c r="J356" i="5"/>
  <c r="L356" i="5" s="1"/>
  <c r="N359" i="5"/>
  <c r="J359" i="5"/>
  <c r="L359" i="5" s="1"/>
  <c r="O359" i="5" s="1"/>
  <c r="N357" i="5"/>
  <c r="J357" i="5"/>
  <c r="L357" i="5" s="1"/>
  <c r="N278" i="5"/>
  <c r="J278" i="5"/>
  <c r="L278" i="5" s="1"/>
  <c r="J285" i="5"/>
  <c r="L285" i="5" s="1"/>
  <c r="N285" i="5"/>
  <c r="N300" i="5"/>
  <c r="J300" i="5"/>
  <c r="L300" i="5" s="1"/>
  <c r="N299" i="5"/>
  <c r="J299" i="5"/>
  <c r="L299" i="5" s="1"/>
  <c r="O480" i="5"/>
  <c r="O668" i="5"/>
  <c r="O567" i="5"/>
  <c r="O575" i="5"/>
  <c r="O548" i="5"/>
  <c r="O468" i="5"/>
  <c r="O510" i="5"/>
  <c r="O592" i="5"/>
  <c r="O687" i="5"/>
  <c r="O569" i="5"/>
  <c r="O589" i="5"/>
  <c r="O681" i="5"/>
  <c r="O89" i="5"/>
  <c r="O98" i="5"/>
  <c r="O167" i="5"/>
  <c r="O87" i="5"/>
  <c r="O177" i="5"/>
  <c r="O97" i="5"/>
  <c r="O552" i="5"/>
  <c r="O483" i="5"/>
  <c r="O481" i="5"/>
  <c r="O131" i="5"/>
  <c r="O179" i="5"/>
  <c r="O117" i="5"/>
  <c r="O680" i="5"/>
  <c r="O128" i="5"/>
  <c r="O172" i="5"/>
  <c r="O171" i="5"/>
  <c r="O118" i="5"/>
  <c r="O136" i="5"/>
  <c r="O594" i="5"/>
  <c r="O683" i="5"/>
  <c r="O168" i="5"/>
  <c r="O479" i="5"/>
  <c r="O598" i="5"/>
  <c r="O124" i="5"/>
  <c r="O174" i="5"/>
  <c r="O164" i="5"/>
  <c r="O139" i="5"/>
  <c r="O123" i="5"/>
  <c r="O113" i="5"/>
  <c r="O511" i="5"/>
  <c r="O673" i="5"/>
  <c r="O550" i="5"/>
  <c r="O487" i="5"/>
  <c r="O600" i="5"/>
  <c r="O682" i="5"/>
  <c r="O52" i="5"/>
  <c r="O92" i="5"/>
  <c r="O116" i="5"/>
  <c r="O93" i="5"/>
  <c r="O565" i="5"/>
  <c r="O566" i="5"/>
  <c r="O574" i="5"/>
  <c r="O169" i="5"/>
  <c r="O122" i="5"/>
  <c r="O509" i="5"/>
  <c r="O672" i="5"/>
  <c r="O522" i="5"/>
  <c r="O523" i="5"/>
  <c r="O119" i="5"/>
  <c r="O554" i="5"/>
  <c r="O597" i="5"/>
  <c r="O508" i="5"/>
  <c r="O568" i="5"/>
  <c r="O537" i="5"/>
  <c r="O684" i="5"/>
  <c r="O595" i="5"/>
  <c r="N654" i="5"/>
  <c r="J654" i="5"/>
  <c r="L654" i="5" s="1"/>
  <c r="O547" i="5"/>
  <c r="O512" i="5"/>
  <c r="O564" i="5"/>
  <c r="O517" i="5"/>
  <c r="O689" i="5"/>
  <c r="O674" i="5"/>
  <c r="O590" i="5"/>
  <c r="O675" i="5"/>
  <c r="O555" i="5"/>
  <c r="O536" i="5"/>
  <c r="O524" i="5"/>
  <c r="O513" i="5"/>
  <c r="O570" i="5"/>
  <c r="N648" i="5"/>
  <c r="J648" i="5"/>
  <c r="L648" i="5" s="1"/>
  <c r="O549" i="5"/>
  <c r="N652" i="5"/>
  <c r="J652" i="5"/>
  <c r="L652" i="5" s="1"/>
  <c r="N669" i="5"/>
  <c r="J669" i="5"/>
  <c r="L669" i="5" s="1"/>
  <c r="O173" i="5"/>
  <c r="J466" i="5"/>
  <c r="L466" i="5" s="1"/>
  <c r="N466" i="5"/>
  <c r="J651" i="5"/>
  <c r="L651" i="5" s="1"/>
  <c r="N651" i="5"/>
  <c r="O538" i="5"/>
  <c r="N655" i="5"/>
  <c r="J655" i="5"/>
  <c r="L655" i="5" s="1"/>
  <c r="N662" i="5"/>
  <c r="J662" i="5"/>
  <c r="L662" i="5" s="1"/>
  <c r="O581" i="5"/>
  <c r="P579" i="5" s="1"/>
  <c r="O553" i="5"/>
  <c r="O573" i="5"/>
  <c r="O690" i="5"/>
  <c r="O591" i="5"/>
  <c r="O599" i="5"/>
  <c r="J657" i="5"/>
  <c r="L657" i="5" s="1"/>
  <c r="N657" i="5"/>
  <c r="O514" i="5"/>
  <c r="N665" i="5"/>
  <c r="J665" i="5"/>
  <c r="L665" i="5" s="1"/>
  <c r="N658" i="5"/>
  <c r="J658" i="5"/>
  <c r="L658" i="5" s="1"/>
  <c r="N661" i="5"/>
  <c r="J661" i="5"/>
  <c r="L661" i="5" s="1"/>
  <c r="O571" i="5"/>
  <c r="O688" i="5"/>
  <c r="O539" i="5"/>
  <c r="O482" i="5"/>
  <c r="O677" i="5"/>
  <c r="O596" i="5"/>
  <c r="O593" i="5"/>
  <c r="O603" i="5"/>
  <c r="O577" i="5"/>
  <c r="O604" i="5"/>
  <c r="O572" i="5"/>
  <c r="J664" i="5"/>
  <c r="L664" i="5" s="1"/>
  <c r="N664" i="5"/>
  <c r="N647" i="5"/>
  <c r="J647" i="5"/>
  <c r="L647" i="5" s="1"/>
  <c r="N41" i="5"/>
  <c r="J41" i="5"/>
  <c r="L41" i="5" s="1"/>
  <c r="N33" i="5"/>
  <c r="J33" i="5"/>
  <c r="L33" i="5" s="1"/>
  <c r="J84" i="5"/>
  <c r="L84" i="5" s="1"/>
  <c r="N84" i="5"/>
  <c r="N30" i="5"/>
  <c r="J30" i="5"/>
  <c r="L30" i="5" s="1"/>
  <c r="N40" i="5"/>
  <c r="J40" i="5"/>
  <c r="L40" i="5" s="1"/>
  <c r="N82" i="5"/>
  <c r="J82" i="5"/>
  <c r="L82" i="5" s="1"/>
  <c r="N79" i="5"/>
  <c r="J79" i="5"/>
  <c r="L79" i="5" s="1"/>
  <c r="O165" i="5"/>
  <c r="O108" i="5"/>
  <c r="O166" i="5"/>
  <c r="O126" i="5"/>
  <c r="O175" i="5"/>
  <c r="O127" i="5"/>
  <c r="N27" i="5"/>
  <c r="J27" i="5"/>
  <c r="L27" i="5" s="1"/>
  <c r="N34" i="5"/>
  <c r="J34" i="5"/>
  <c r="L34" i="5" s="1"/>
  <c r="J45" i="5"/>
  <c r="L45" i="5" s="1"/>
  <c r="N45" i="5"/>
  <c r="N76" i="5"/>
  <c r="J76" i="5"/>
  <c r="L76" i="5" s="1"/>
  <c r="J36" i="5"/>
  <c r="L36" i="5" s="1"/>
  <c r="N36" i="5"/>
  <c r="J29" i="5"/>
  <c r="L29" i="5" s="1"/>
  <c r="N29" i="5"/>
  <c r="J49" i="5"/>
  <c r="L49" i="5" s="1"/>
  <c r="N49" i="5"/>
  <c r="O109" i="5"/>
  <c r="N23" i="5"/>
  <c r="J23" i="5"/>
  <c r="L23" i="5" s="1"/>
  <c r="N56" i="5"/>
  <c r="J56" i="5"/>
  <c r="L56" i="5" s="1"/>
  <c r="O114" i="5"/>
  <c r="J24" i="5"/>
  <c r="L24" i="5" s="1"/>
  <c r="N24" i="5"/>
  <c r="N101" i="5"/>
  <c r="J101" i="5"/>
  <c r="L101" i="5" s="1"/>
  <c r="N20" i="5"/>
  <c r="J20" i="5"/>
  <c r="L20" i="5" s="1"/>
  <c r="N57" i="5"/>
  <c r="J57" i="5"/>
  <c r="L57" i="5" s="1"/>
  <c r="N47" i="5"/>
  <c r="J47" i="5"/>
  <c r="L47" i="5" s="1"/>
  <c r="O178" i="5"/>
  <c r="O135" i="5"/>
  <c r="N26" i="5"/>
  <c r="J26" i="5"/>
  <c r="L26" i="5" s="1"/>
  <c r="N46" i="5"/>
  <c r="J46" i="5"/>
  <c r="L46" i="5" s="1"/>
  <c r="J73" i="5"/>
  <c r="L73" i="5" s="1"/>
  <c r="N73" i="5"/>
  <c r="N18" i="5"/>
  <c r="J18" i="5"/>
  <c r="L18" i="5" s="1"/>
  <c r="J44" i="5"/>
  <c r="L44" i="5" s="1"/>
  <c r="N44" i="5"/>
  <c r="O140" i="5"/>
  <c r="O176" i="5"/>
  <c r="O170" i="5"/>
  <c r="O110" i="5"/>
  <c r="N102" i="5"/>
  <c r="J102" i="5"/>
  <c r="L102" i="5" s="1"/>
  <c r="N21" i="5"/>
  <c r="J21" i="5"/>
  <c r="L21" i="5" s="1"/>
  <c r="N37" i="5"/>
  <c r="J37" i="5"/>
  <c r="L37" i="5" s="1"/>
  <c r="O111" i="5"/>
  <c r="O163" i="5"/>
  <c r="O132" i="5"/>
  <c r="O88" i="5"/>
  <c r="O107" i="5"/>
  <c r="A40" i="5" l="1"/>
  <c r="O356" i="5"/>
  <c r="O279" i="5"/>
  <c r="O287" i="5"/>
  <c r="O281" i="5"/>
  <c r="O360" i="5"/>
  <c r="O302" i="5"/>
  <c r="O300" i="5"/>
  <c r="O299" i="5"/>
  <c r="O298" i="5"/>
  <c r="O358" i="5"/>
  <c r="O278" i="5"/>
  <c r="O357" i="5"/>
  <c r="O286" i="5"/>
  <c r="O284" i="5"/>
  <c r="O285" i="5"/>
  <c r="O654" i="5"/>
  <c r="O56" i="5"/>
  <c r="O30" i="5"/>
  <c r="O647" i="5"/>
  <c r="O655" i="5"/>
  <c r="O101" i="5"/>
  <c r="O76" i="5"/>
  <c r="O665" i="5"/>
  <c r="O652" i="5"/>
  <c r="O662" i="5"/>
  <c r="O648" i="5"/>
  <c r="O20" i="5"/>
  <c r="O27" i="5"/>
  <c r="O658" i="5"/>
  <c r="O669" i="5"/>
  <c r="O84" i="5"/>
  <c r="O664" i="5"/>
  <c r="O37" i="5"/>
  <c r="O661" i="5"/>
  <c r="O82" i="5"/>
  <c r="O33" i="5"/>
  <c r="O651" i="5"/>
  <c r="O45" i="5"/>
  <c r="O466" i="5"/>
  <c r="O49" i="5"/>
  <c r="O657" i="5"/>
  <c r="O29" i="5"/>
  <c r="O44" i="5"/>
  <c r="O24" i="5"/>
  <c r="O102" i="5"/>
  <c r="O18" i="5"/>
  <c r="O23" i="5"/>
  <c r="O36" i="5"/>
  <c r="O79" i="5"/>
  <c r="O73" i="5"/>
  <c r="O46" i="5"/>
  <c r="O47" i="5"/>
  <c r="P104" i="5"/>
  <c r="O21" i="5"/>
  <c r="O40" i="5"/>
  <c r="O41" i="5"/>
  <c r="O26" i="5"/>
  <c r="O57" i="5"/>
  <c r="O34" i="5"/>
  <c r="A41" i="5" l="1"/>
  <c r="P644" i="5"/>
  <c r="F608" i="5"/>
  <c r="G608" i="5" s="1"/>
  <c r="F588" i="5"/>
  <c r="G588" i="5" s="1"/>
  <c r="F585" i="5"/>
  <c r="G585" i="5" s="1"/>
  <c r="A44" i="5" l="1"/>
  <c r="A45" i="5" s="1"/>
  <c r="A46" i="5" s="1"/>
  <c r="A47" i="5" s="1"/>
  <c r="A49" i="5" s="1"/>
  <c r="A52" i="5" s="1"/>
  <c r="A55" i="5" s="1"/>
  <c r="A56" i="5" s="1"/>
  <c r="A57" i="5" s="1"/>
  <c r="A62" i="5" s="1"/>
  <c r="A65" i="5" s="1"/>
  <c r="A70" i="5" s="1"/>
  <c r="A73" i="5" s="1"/>
  <c r="A76" i="5" s="1"/>
  <c r="A79" i="5" s="1"/>
  <c r="A82" i="5" s="1"/>
  <c r="A83" i="5" s="1"/>
  <c r="A84" i="5" s="1"/>
  <c r="A87" i="5" s="1"/>
  <c r="A88" i="5" s="1"/>
  <c r="A89" i="5" s="1"/>
  <c r="A92" i="5" s="1"/>
  <c r="A93" i="5" s="1"/>
  <c r="A97" i="5" s="1"/>
  <c r="A98" i="5" s="1"/>
  <c r="A101" i="5" s="1"/>
  <c r="A102" i="5" s="1"/>
  <c r="A107" i="5" s="1"/>
  <c r="A108" i="5" s="1"/>
  <c r="A109" i="5" s="1"/>
  <c r="A110" i="5" s="1"/>
  <c r="A111" i="5" s="1"/>
  <c r="A113" i="5" s="1"/>
  <c r="A114" i="5" s="1"/>
  <c r="A116" i="5" s="1"/>
  <c r="A117" i="5" s="1"/>
  <c r="A118" i="5" s="1"/>
  <c r="A119" i="5" s="1"/>
  <c r="A122" i="5" s="1"/>
  <c r="A123" i="5" s="1"/>
  <c r="A124" i="5" s="1"/>
  <c r="A126" i="5" s="1"/>
  <c r="A127" i="5" s="1"/>
  <c r="A128" i="5" s="1"/>
  <c r="A131" i="5" s="1"/>
  <c r="A132" i="5" s="1"/>
  <c r="A135" i="5" s="1"/>
  <c r="A136" i="5" s="1"/>
  <c r="A139" i="5" s="1"/>
  <c r="A140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9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6" i="5" s="1"/>
  <c r="A187" i="5" s="1"/>
  <c r="A188" i="5" s="1"/>
  <c r="A189" i="5" s="1"/>
  <c r="A190" i="5" s="1"/>
  <c r="A193" i="5" s="1"/>
  <c r="A194" i="5" s="1"/>
  <c r="A195" i="5" s="1"/>
  <c r="A196" i="5" s="1"/>
  <c r="A197" i="5" s="1"/>
  <c r="A200" i="5" s="1"/>
  <c r="A201" i="5" s="1"/>
  <c r="A202" i="5" s="1"/>
  <c r="A203" i="5" s="1"/>
  <c r="A204" i="5" s="1"/>
  <c r="A207" i="5" s="1"/>
  <c r="A208" i="5" s="1"/>
  <c r="A209" i="5" s="1"/>
  <c r="A210" i="5" s="1"/>
  <c r="A211" i="5" s="1"/>
  <c r="A214" i="5" s="1"/>
  <c r="A215" i="5" s="1"/>
  <c r="A216" i="5" s="1"/>
  <c r="A217" i="5" s="1"/>
  <c r="A218" i="5" s="1"/>
  <c r="A221" i="5" s="1"/>
  <c r="A222" i="5" s="1"/>
  <c r="A223" i="5" s="1"/>
  <c r="A224" i="5" s="1"/>
  <c r="A225" i="5" s="1"/>
  <c r="A228" i="5" s="1"/>
  <c r="A229" i="5" s="1"/>
  <c r="A230" i="5" s="1"/>
  <c r="A231" i="5" s="1"/>
  <c r="A232" i="5" s="1"/>
  <c r="A235" i="5" s="1"/>
  <c r="A236" i="5" s="1"/>
  <c r="A237" i="5" s="1"/>
  <c r="A238" i="5" s="1"/>
  <c r="A239" i="5" s="1"/>
  <c r="A242" i="5" s="1"/>
  <c r="A243" i="5" s="1"/>
  <c r="A244" i="5" s="1"/>
  <c r="A245" i="5" s="1"/>
  <c r="A246" i="5" s="1"/>
  <c r="A249" i="5" s="1"/>
  <c r="A250" i="5" s="1"/>
  <c r="A251" i="5" s="1"/>
  <c r="A252" i="5" s="1"/>
  <c r="A253" i="5" s="1"/>
  <c r="A256" i="5" s="1"/>
  <c r="A257" i="5" s="1"/>
  <c r="A258" i="5" s="1"/>
  <c r="A259" i="5" s="1"/>
  <c r="A260" i="5" s="1"/>
  <c r="A263" i="5" s="1"/>
  <c r="A264" i="5" s="1"/>
  <c r="A265" i="5" s="1"/>
  <c r="A266" i="5" s="1"/>
  <c r="A267" i="5" s="1"/>
  <c r="A270" i="5" s="1"/>
  <c r="A271" i="5" s="1"/>
  <c r="A272" i="5" s="1"/>
  <c r="A273" i="5" s="1"/>
  <c r="A274" i="5" s="1"/>
  <c r="A277" i="5" s="1"/>
  <c r="A278" i="5" s="1"/>
  <c r="A279" i="5" s="1"/>
  <c r="A280" i="5" s="1"/>
  <c r="A281" i="5" s="1"/>
  <c r="A284" i="5" s="1"/>
  <c r="A285" i="5" s="1"/>
  <c r="A286" i="5" s="1"/>
  <c r="A287" i="5" s="1"/>
  <c r="A288" i="5" s="1"/>
  <c r="A291" i="5" s="1"/>
  <c r="A292" i="5" s="1"/>
  <c r="A293" i="5" s="1"/>
  <c r="A294" i="5" s="1"/>
  <c r="A295" i="5" s="1"/>
  <c r="A298" i="5" s="1"/>
  <c r="A299" i="5" s="1"/>
  <c r="A300" i="5" s="1"/>
  <c r="A301" i="5" s="1"/>
  <c r="A302" i="5" s="1"/>
  <c r="A305" i="5" s="1"/>
  <c r="A306" i="5" s="1"/>
  <c r="A307" i="5" s="1"/>
  <c r="A308" i="5" s="1"/>
  <c r="A309" i="5" s="1"/>
  <c r="A310" i="5" s="1"/>
  <c r="A313" i="5" s="1"/>
  <c r="A314" i="5" s="1"/>
  <c r="A315" i="5" s="1"/>
  <c r="A316" i="5" s="1"/>
  <c r="A317" i="5" s="1"/>
  <c r="A320" i="5" s="1"/>
  <c r="A321" i="5" s="1"/>
  <c r="A322" i="5" s="1"/>
  <c r="A323" i="5" s="1"/>
  <c r="A324" i="5" s="1"/>
  <c r="A327" i="5" s="1"/>
  <c r="A328" i="5" s="1"/>
  <c r="A329" i="5" s="1"/>
  <c r="A330" i="5" s="1"/>
  <c r="A331" i="5" s="1"/>
  <c r="A334" i="5" s="1"/>
  <c r="A335" i="5" s="1"/>
  <c r="A336" i="5" s="1"/>
  <c r="A337" i="5" s="1"/>
  <c r="A338" i="5" s="1"/>
  <c r="A341" i="5" s="1"/>
  <c r="A342" i="5" s="1"/>
  <c r="A343" i="5" s="1"/>
  <c r="A344" i="5" s="1"/>
  <c r="A345" i="5" s="1"/>
  <c r="A346" i="5" s="1"/>
  <c r="A349" i="5" s="1"/>
  <c r="A350" i="5" s="1"/>
  <c r="A351" i="5" s="1"/>
  <c r="A352" i="5" s="1"/>
  <c r="A353" i="5" s="1"/>
  <c r="A356" i="5" s="1"/>
  <c r="A357" i="5" s="1"/>
  <c r="A358" i="5" s="1"/>
  <c r="A359" i="5" s="1"/>
  <c r="A360" i="5" s="1"/>
  <c r="A363" i="5" s="1"/>
  <c r="A364" i="5" s="1"/>
  <c r="A365" i="5" s="1"/>
  <c r="A366" i="5" s="1"/>
  <c r="A367" i="5" s="1"/>
  <c r="A368" i="5" s="1"/>
  <c r="A371" i="5" s="1"/>
  <c r="A372" i="5" s="1"/>
  <c r="A373" i="5" s="1"/>
  <c r="A374" i="5" s="1"/>
  <c r="A375" i="5" s="1"/>
  <c r="A378" i="5" s="1"/>
  <c r="A379" i="5" s="1"/>
  <c r="A380" i="5" s="1"/>
  <c r="A381" i="5" s="1"/>
  <c r="A382" i="5" s="1"/>
  <c r="A385" i="5" s="1"/>
  <c r="A386" i="5" s="1"/>
  <c r="A387" i="5" s="1"/>
  <c r="A388" i="5" s="1"/>
  <c r="A389" i="5" s="1"/>
  <c r="A390" i="5" s="1"/>
  <c r="A393" i="5" s="1"/>
  <c r="A394" i="5" s="1"/>
  <c r="A395" i="5" s="1"/>
  <c r="A396" i="5" s="1"/>
  <c r="A397" i="5" s="1"/>
  <c r="A398" i="5" s="1"/>
  <c r="A401" i="5" s="1"/>
  <c r="A402" i="5" s="1"/>
  <c r="A403" i="5" s="1"/>
  <c r="A404" i="5" s="1"/>
  <c r="A405" i="5" s="1"/>
  <c r="A408" i="5" s="1"/>
  <c r="A409" i="5" s="1"/>
  <c r="A410" i="5" s="1"/>
  <c r="A411" i="5" s="1"/>
  <c r="A412" i="5" s="1"/>
  <c r="A413" i="5" s="1"/>
  <c r="A416" i="5" s="1"/>
  <c r="A417" i="5" s="1"/>
  <c r="A418" i="5" s="1"/>
  <c r="A419" i="5" s="1"/>
  <c r="A422" i="5" s="1"/>
  <c r="A423" i="5" s="1"/>
  <c r="A424" i="5" s="1"/>
  <c r="A425" i="5" s="1"/>
  <c r="A428" i="5" s="1"/>
  <c r="A429" i="5" s="1"/>
  <c r="A430" i="5" s="1"/>
  <c r="A431" i="5" s="1"/>
  <c r="A434" i="5" s="1"/>
  <c r="A435" i="5" s="1"/>
  <c r="A436" i="5" s="1"/>
  <c r="A437" i="5" s="1"/>
  <c r="A440" i="5" s="1"/>
  <c r="A441" i="5" s="1"/>
  <c r="A442" i="5" s="1"/>
  <c r="A443" i="5" s="1"/>
  <c r="A446" i="5" s="1"/>
  <c r="A447" i="5" s="1"/>
  <c r="A448" i="5" s="1"/>
  <c r="A449" i="5" s="1"/>
  <c r="A452" i="5" s="1"/>
  <c r="A453" i="5" s="1"/>
  <c r="A454" i="5" s="1"/>
  <c r="A455" i="5" s="1"/>
  <c r="A457" i="5" s="1"/>
  <c r="A458" i="5" s="1"/>
  <c r="A459" i="5" s="1"/>
  <c r="A462" i="5" s="1"/>
  <c r="A465" i="5" s="1"/>
  <c r="A466" i="5" s="1"/>
  <c r="A468" i="5" s="1"/>
  <c r="A470" i="5" s="1"/>
  <c r="A471" i="5" s="1"/>
  <c r="A474" i="5" s="1"/>
  <c r="A475" i="5" s="1"/>
  <c r="A478" i="5" s="1"/>
  <c r="A479" i="5" s="1"/>
  <c r="A480" i="5" s="1"/>
  <c r="A481" i="5" s="1"/>
  <c r="A482" i="5" s="1"/>
  <c r="A483" i="5" s="1"/>
  <c r="A486" i="5" s="1"/>
  <c r="A487" i="5" s="1"/>
  <c r="A488" i="5" s="1"/>
  <c r="A489" i="5" s="1"/>
  <c r="A490" i="5" s="1"/>
  <c r="A493" i="5" s="1"/>
  <c r="A496" i="5" s="1"/>
  <c r="A501" i="5" s="1"/>
  <c r="A502" i="5" s="1"/>
  <c r="A505" i="5" s="1"/>
  <c r="A508" i="5" s="1"/>
  <c r="A509" i="5" s="1"/>
  <c r="A510" i="5" s="1"/>
  <c r="A511" i="5" s="1"/>
  <c r="A512" i="5" s="1"/>
  <c r="A513" i="5" s="1"/>
  <c r="A514" i="5" s="1"/>
  <c r="A517" i="5" s="1"/>
  <c r="A520" i="5" s="1"/>
  <c r="A522" i="5" s="1"/>
  <c r="A523" i="5" s="1"/>
  <c r="A524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2" i="5" s="1"/>
  <c r="A547" i="5" s="1"/>
  <c r="A548" i="5" s="1"/>
  <c r="A549" i="5" s="1"/>
  <c r="A550" i="5" s="1"/>
  <c r="A551" i="5" s="1"/>
  <c r="A552" i="5" s="1"/>
  <c r="A553" i="5" s="1"/>
  <c r="A554" i="5" s="1"/>
  <c r="A555" i="5" s="1"/>
  <c r="A560" i="5" s="1"/>
  <c r="A561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7" i="5" s="1"/>
  <c r="A581" i="5" s="1"/>
  <c r="A585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3" i="5" s="1"/>
  <c r="A604" i="5" s="1"/>
  <c r="A608" i="5" s="1"/>
  <c r="A613" i="5" s="1"/>
  <c r="A614" i="5" s="1"/>
  <c r="A615" i="5" s="1"/>
  <c r="A616" i="5" s="1"/>
  <c r="A617" i="5" s="1"/>
  <c r="A618" i="5" s="1"/>
  <c r="A619" i="5" s="1"/>
  <c r="A620" i="5" s="1"/>
  <c r="A621" i="5" s="1"/>
  <c r="A623" i="5" s="1"/>
  <c r="A626" i="5" s="1"/>
  <c r="A627" i="5" s="1"/>
  <c r="A630" i="5" s="1"/>
  <c r="A633" i="5" s="1"/>
  <c r="A635" i="5" s="1"/>
  <c r="A636" i="5" s="1"/>
  <c r="A640" i="5" s="1"/>
  <c r="A641" i="5" s="1"/>
  <c r="A642" i="5" s="1"/>
  <c r="A647" i="5" s="1"/>
  <c r="A648" i="5" s="1"/>
  <c r="A651" i="5" s="1"/>
  <c r="A652" i="5" s="1"/>
  <c r="A654" i="5" s="1"/>
  <c r="A655" i="5" s="1"/>
  <c r="A657" i="5" s="1"/>
  <c r="A658" i="5" s="1"/>
  <c r="A661" i="5" s="1"/>
  <c r="A662" i="5" s="1"/>
  <c r="A664" i="5" s="1"/>
  <c r="A665" i="5" s="1"/>
  <c r="A668" i="5" s="1"/>
  <c r="A669" i="5" s="1"/>
  <c r="A672" i="5" s="1"/>
  <c r="A673" i="5" s="1"/>
  <c r="A674" i="5" s="1"/>
  <c r="A675" i="5" s="1"/>
  <c r="A677" i="5" s="1"/>
  <c r="A680" i="5" s="1"/>
  <c r="A681" i="5" s="1"/>
  <c r="A682" i="5" s="1"/>
  <c r="A683" i="5" s="1"/>
  <c r="A684" i="5" s="1"/>
  <c r="A687" i="5" s="1"/>
  <c r="A688" i="5" s="1"/>
  <c r="A689" i="5" s="1"/>
  <c r="A690" i="5" s="1"/>
  <c r="N588" i="5"/>
  <c r="J588" i="5"/>
  <c r="L588" i="5" s="1"/>
  <c r="J608" i="5"/>
  <c r="L608" i="5" s="1"/>
  <c r="N608" i="5"/>
  <c r="N585" i="5"/>
  <c r="J585" i="5"/>
  <c r="L585" i="5" s="1"/>
  <c r="O585" i="5" l="1"/>
  <c r="O608" i="5"/>
  <c r="P606" i="5" s="1"/>
  <c r="O588" i="5"/>
  <c r="F613" i="5"/>
  <c r="G613" i="5" s="1"/>
  <c r="F614" i="5"/>
  <c r="G614" i="5" s="1"/>
  <c r="F615" i="5"/>
  <c r="G615" i="5" s="1"/>
  <c r="F616" i="5"/>
  <c r="G616" i="5" s="1"/>
  <c r="F617" i="5"/>
  <c r="G617" i="5" s="1"/>
  <c r="F618" i="5"/>
  <c r="G618" i="5" s="1"/>
  <c r="F619" i="5"/>
  <c r="G619" i="5" s="1"/>
  <c r="F620" i="5"/>
  <c r="G620" i="5" s="1"/>
  <c r="P583" i="5" l="1"/>
  <c r="J616" i="5"/>
  <c r="L616" i="5" s="1"/>
  <c r="N616" i="5"/>
  <c r="J615" i="5"/>
  <c r="L615" i="5" s="1"/>
  <c r="N615" i="5"/>
  <c r="N617" i="5"/>
  <c r="J617" i="5"/>
  <c r="L617" i="5" s="1"/>
  <c r="N618" i="5"/>
  <c r="J618" i="5"/>
  <c r="L618" i="5" s="1"/>
  <c r="N614" i="5"/>
  <c r="J614" i="5"/>
  <c r="L614" i="5" s="1"/>
  <c r="N613" i="5"/>
  <c r="J613" i="5"/>
  <c r="L613" i="5" s="1"/>
  <c r="N619" i="5"/>
  <c r="J619" i="5"/>
  <c r="L619" i="5" s="1"/>
  <c r="J620" i="5"/>
  <c r="L620" i="5" s="1"/>
  <c r="N620" i="5"/>
  <c r="F551" i="5"/>
  <c r="G551" i="5" s="1"/>
  <c r="O617" i="5" l="1"/>
  <c r="O613" i="5"/>
  <c r="O618" i="5"/>
  <c r="O619" i="5"/>
  <c r="O616" i="5"/>
  <c r="O615" i="5"/>
  <c r="N551" i="5"/>
  <c r="J551" i="5"/>
  <c r="L551" i="5" s="1"/>
  <c r="O620" i="5"/>
  <c r="O614" i="5"/>
  <c r="B9" i="5"/>
  <c r="B8" i="5"/>
  <c r="B7" i="5"/>
  <c r="A8" i="5"/>
  <c r="A7" i="5"/>
  <c r="O551" i="5" l="1"/>
  <c r="P544" i="5" s="1"/>
  <c r="F471" i="5"/>
  <c r="G471" i="5" l="1"/>
  <c r="F162" i="5"/>
  <c r="G162" i="5" s="1"/>
  <c r="F203" i="5"/>
  <c r="F642" i="5"/>
  <c r="G642" i="5" s="1"/>
  <c r="F641" i="5"/>
  <c r="G641" i="5" s="1"/>
  <c r="F627" i="5"/>
  <c r="G627" i="5" s="1"/>
  <c r="F630" i="5"/>
  <c r="G630" i="5" s="1"/>
  <c r="F633" i="5"/>
  <c r="G633" i="5" s="1"/>
  <c r="F635" i="5"/>
  <c r="F636" i="5"/>
  <c r="F626" i="5"/>
  <c r="G626" i="5" s="1"/>
  <c r="F621" i="5"/>
  <c r="G621" i="5" s="1"/>
  <c r="F623" i="5"/>
  <c r="G623" i="5" s="1"/>
  <c r="N633" i="5" l="1"/>
  <c r="J633" i="5"/>
  <c r="L633" i="5" s="1"/>
  <c r="N630" i="5"/>
  <c r="J630" i="5"/>
  <c r="L630" i="5" s="1"/>
  <c r="J627" i="5"/>
  <c r="L627" i="5" s="1"/>
  <c r="N627" i="5"/>
  <c r="N623" i="5"/>
  <c r="J623" i="5"/>
  <c r="L623" i="5" s="1"/>
  <c r="O623" i="5" s="1"/>
  <c r="N621" i="5"/>
  <c r="J621" i="5"/>
  <c r="L621" i="5" s="1"/>
  <c r="N642" i="5"/>
  <c r="J642" i="5"/>
  <c r="L642" i="5" s="1"/>
  <c r="J471" i="5"/>
  <c r="L471" i="5" s="1"/>
  <c r="N471" i="5"/>
  <c r="N641" i="5"/>
  <c r="J641" i="5"/>
  <c r="L641" i="5" s="1"/>
  <c r="N626" i="5"/>
  <c r="J626" i="5"/>
  <c r="L626" i="5" s="1"/>
  <c r="N162" i="5"/>
  <c r="J162" i="5"/>
  <c r="L162" i="5" s="1"/>
  <c r="G635" i="5"/>
  <c r="G636" i="5"/>
  <c r="G203" i="5"/>
  <c r="J203" i="5" l="1"/>
  <c r="L203" i="5" s="1"/>
  <c r="N203" i="5"/>
  <c r="O162" i="5"/>
  <c r="O630" i="5"/>
  <c r="O642" i="5"/>
  <c r="O641" i="5"/>
  <c r="O471" i="5"/>
  <c r="J636" i="5"/>
  <c r="L636" i="5" s="1"/>
  <c r="N636" i="5"/>
  <c r="N635" i="5"/>
  <c r="J635" i="5"/>
  <c r="L635" i="5" s="1"/>
  <c r="O627" i="5"/>
  <c r="O626" i="5"/>
  <c r="O621" i="5"/>
  <c r="O633" i="5"/>
  <c r="O203" i="5" l="1"/>
  <c r="O635" i="5"/>
  <c r="O636" i="5"/>
  <c r="P610" i="5" l="1"/>
  <c r="F488" i="5"/>
  <c r="G488" i="5" s="1"/>
  <c r="F489" i="5"/>
  <c r="G489" i="5" s="1"/>
  <c r="F490" i="5"/>
  <c r="G490" i="5" s="1"/>
  <c r="F475" i="5"/>
  <c r="G475" i="5" s="1"/>
  <c r="F563" i="5"/>
  <c r="F561" i="5"/>
  <c r="G561" i="5" s="1"/>
  <c r="F530" i="5"/>
  <c r="G530" i="5" s="1"/>
  <c r="F531" i="5"/>
  <c r="G531" i="5" s="1"/>
  <c r="F532" i="5"/>
  <c r="G532" i="5" s="1"/>
  <c r="F533" i="5"/>
  <c r="G533" i="5" s="1"/>
  <c r="F534" i="5"/>
  <c r="G534" i="5" s="1"/>
  <c r="F535" i="5"/>
  <c r="G535" i="5" s="1"/>
  <c r="F542" i="5"/>
  <c r="G542" i="5" s="1"/>
  <c r="J531" i="5" l="1"/>
  <c r="L531" i="5" s="1"/>
  <c r="N531" i="5"/>
  <c r="N530" i="5"/>
  <c r="J530" i="5"/>
  <c r="L530" i="5" s="1"/>
  <c r="N542" i="5"/>
  <c r="J542" i="5"/>
  <c r="L542" i="5" s="1"/>
  <c r="N475" i="5"/>
  <c r="J475" i="5"/>
  <c r="L475" i="5" s="1"/>
  <c r="J535" i="5"/>
  <c r="L535" i="5" s="1"/>
  <c r="N535" i="5"/>
  <c r="J490" i="5"/>
  <c r="L490" i="5" s="1"/>
  <c r="N490" i="5"/>
  <c r="J561" i="5"/>
  <c r="L561" i="5" s="1"/>
  <c r="N561" i="5"/>
  <c r="J534" i="5"/>
  <c r="L534" i="5" s="1"/>
  <c r="N534" i="5"/>
  <c r="N533" i="5"/>
  <c r="J533" i="5"/>
  <c r="L533" i="5" s="1"/>
  <c r="J489" i="5"/>
  <c r="L489" i="5" s="1"/>
  <c r="N489" i="5"/>
  <c r="N532" i="5"/>
  <c r="J532" i="5"/>
  <c r="L532" i="5" s="1"/>
  <c r="O532" i="5" s="1"/>
  <c r="N488" i="5"/>
  <c r="J488" i="5"/>
  <c r="L488" i="5" s="1"/>
  <c r="G563" i="5"/>
  <c r="O488" i="5" l="1"/>
  <c r="O475" i="5"/>
  <c r="O530" i="5"/>
  <c r="O542" i="5"/>
  <c r="O534" i="5"/>
  <c r="O533" i="5"/>
  <c r="O490" i="5"/>
  <c r="O561" i="5"/>
  <c r="O489" i="5"/>
  <c r="N563" i="5"/>
  <c r="J563" i="5"/>
  <c r="L563" i="5" s="1"/>
  <c r="O535" i="5"/>
  <c r="O531" i="5"/>
  <c r="F640" i="5"/>
  <c r="G640" i="5" s="1"/>
  <c r="F560" i="5"/>
  <c r="F529" i="5"/>
  <c r="G529" i="5" s="1"/>
  <c r="F520" i="5"/>
  <c r="G520" i="5" s="1"/>
  <c r="F505" i="5"/>
  <c r="G505" i="5" s="1"/>
  <c r="F502" i="5"/>
  <c r="G502" i="5" s="1"/>
  <c r="F501" i="5"/>
  <c r="G501" i="5" s="1"/>
  <c r="F496" i="5"/>
  <c r="G496" i="5" s="1"/>
  <c r="F493" i="5"/>
  <c r="G493" i="5" s="1"/>
  <c r="F486" i="5"/>
  <c r="F478" i="5"/>
  <c r="G478" i="5" s="1"/>
  <c r="F474" i="5"/>
  <c r="G474" i="5" s="1"/>
  <c r="F470" i="5"/>
  <c r="G470" i="5" s="1"/>
  <c r="F465" i="5"/>
  <c r="G465" i="5" s="1"/>
  <c r="F462" i="5"/>
  <c r="G462" i="5" s="1"/>
  <c r="F459" i="5"/>
  <c r="F458" i="5"/>
  <c r="F457" i="5"/>
  <c r="G457" i="5" s="1"/>
  <c r="F204" i="5"/>
  <c r="F202" i="5"/>
  <c r="F201" i="5"/>
  <c r="F200" i="5"/>
  <c r="F159" i="5"/>
  <c r="G159" i="5" s="1"/>
  <c r="F156" i="5"/>
  <c r="G156" i="5" s="1"/>
  <c r="F155" i="5"/>
  <c r="G155" i="5" s="1"/>
  <c r="F154" i="5"/>
  <c r="G154" i="5" s="1"/>
  <c r="F153" i="5"/>
  <c r="G153" i="5" s="1"/>
  <c r="F152" i="5"/>
  <c r="G152" i="5" s="1"/>
  <c r="F151" i="5"/>
  <c r="G151" i="5" s="1"/>
  <c r="F150" i="5"/>
  <c r="G150" i="5" s="1"/>
  <c r="F149" i="5"/>
  <c r="G149" i="5" s="1"/>
  <c r="F148" i="5"/>
  <c r="G148" i="5" s="1"/>
  <c r="F147" i="5"/>
  <c r="G147" i="5" s="1"/>
  <c r="F146" i="5"/>
  <c r="G146" i="5" s="1"/>
  <c r="F145" i="5"/>
  <c r="G145" i="5" s="1"/>
  <c r="F70" i="5"/>
  <c r="F65" i="5"/>
  <c r="G65" i="5" s="1"/>
  <c r="F62" i="5"/>
  <c r="G62" i="5" s="1"/>
  <c r="F55" i="5"/>
  <c r="G55" i="5" s="1"/>
  <c r="F17" i="5"/>
  <c r="A5" i="5"/>
  <c r="D7" i="1"/>
  <c r="D6" i="1"/>
  <c r="C9" i="1" s="1"/>
  <c r="D5" i="1"/>
  <c r="J457" i="5" l="1"/>
  <c r="L457" i="5" s="1"/>
  <c r="N457" i="5"/>
  <c r="N640" i="5"/>
  <c r="J640" i="5"/>
  <c r="L640" i="5" s="1"/>
  <c r="N496" i="5"/>
  <c r="J496" i="5"/>
  <c r="L496" i="5" s="1"/>
  <c r="N462" i="5"/>
  <c r="J462" i="5"/>
  <c r="L462" i="5" s="1"/>
  <c r="J501" i="5"/>
  <c r="L501" i="5" s="1"/>
  <c r="N501" i="5"/>
  <c r="J465" i="5"/>
  <c r="L465" i="5" s="1"/>
  <c r="N465" i="5"/>
  <c r="J502" i="5"/>
  <c r="L502" i="5" s="1"/>
  <c r="N502" i="5"/>
  <c r="O563" i="5"/>
  <c r="N470" i="5"/>
  <c r="J470" i="5"/>
  <c r="L470" i="5" s="1"/>
  <c r="N505" i="5"/>
  <c r="J505" i="5"/>
  <c r="L505" i="5" s="1"/>
  <c r="N493" i="5"/>
  <c r="J493" i="5"/>
  <c r="L493" i="5" s="1"/>
  <c r="N474" i="5"/>
  <c r="J474" i="5"/>
  <c r="L474" i="5" s="1"/>
  <c r="N520" i="5"/>
  <c r="J520" i="5"/>
  <c r="L520" i="5" s="1"/>
  <c r="J478" i="5"/>
  <c r="L478" i="5" s="1"/>
  <c r="N478" i="5"/>
  <c r="N529" i="5"/>
  <c r="J529" i="5"/>
  <c r="L529" i="5" s="1"/>
  <c r="N159" i="5"/>
  <c r="J159" i="5"/>
  <c r="L159" i="5" s="1"/>
  <c r="J62" i="5"/>
  <c r="L62" i="5" s="1"/>
  <c r="N62" i="5"/>
  <c r="N150" i="5"/>
  <c r="J150" i="5"/>
  <c r="L150" i="5" s="1"/>
  <c r="N148" i="5"/>
  <c r="J148" i="5"/>
  <c r="L148" i="5" s="1"/>
  <c r="N55" i="5"/>
  <c r="J55" i="5"/>
  <c r="L55" i="5" s="1"/>
  <c r="N65" i="5"/>
  <c r="J65" i="5"/>
  <c r="L65" i="5" s="1"/>
  <c r="N151" i="5"/>
  <c r="J151" i="5"/>
  <c r="L151" i="5" s="1"/>
  <c r="N156" i="5"/>
  <c r="J156" i="5"/>
  <c r="L156" i="5" s="1"/>
  <c r="N149" i="5"/>
  <c r="J149" i="5"/>
  <c r="L149" i="5" s="1"/>
  <c r="N152" i="5"/>
  <c r="J152" i="5"/>
  <c r="L152" i="5" s="1"/>
  <c r="J145" i="5"/>
  <c r="L145" i="5" s="1"/>
  <c r="N145" i="5"/>
  <c r="N146" i="5"/>
  <c r="J146" i="5"/>
  <c r="L146" i="5" s="1"/>
  <c r="N154" i="5"/>
  <c r="J154" i="5"/>
  <c r="L154" i="5" s="1"/>
  <c r="J153" i="5"/>
  <c r="L153" i="5" s="1"/>
  <c r="N153" i="5"/>
  <c r="N147" i="5"/>
  <c r="J147" i="5"/>
  <c r="L147" i="5" s="1"/>
  <c r="N155" i="5"/>
  <c r="J155" i="5"/>
  <c r="L155" i="5" s="1"/>
  <c r="G70" i="5"/>
  <c r="G204" i="5"/>
  <c r="G560" i="5"/>
  <c r="G459" i="5"/>
  <c r="G17" i="5"/>
  <c r="G486" i="5"/>
  <c r="G458" i="5"/>
  <c r="G200" i="5"/>
  <c r="G201" i="5"/>
  <c r="G202" i="5"/>
  <c r="N458" i="5" l="1"/>
  <c r="J458" i="5"/>
  <c r="L458" i="5" s="1"/>
  <c r="J459" i="5"/>
  <c r="L459" i="5" s="1"/>
  <c r="N459" i="5"/>
  <c r="O457" i="5"/>
  <c r="N202" i="5"/>
  <c r="J202" i="5"/>
  <c r="L202" i="5" s="1"/>
  <c r="J204" i="5"/>
  <c r="L204" i="5" s="1"/>
  <c r="N204" i="5"/>
  <c r="N201" i="5"/>
  <c r="J201" i="5"/>
  <c r="L201" i="5" s="1"/>
  <c r="O201" i="5" s="1"/>
  <c r="J200" i="5"/>
  <c r="L200" i="5" s="1"/>
  <c r="N200" i="5"/>
  <c r="O155" i="5"/>
  <c r="O146" i="5"/>
  <c r="O148" i="5"/>
  <c r="O529" i="5"/>
  <c r="P526" i="5" s="1"/>
  <c r="O493" i="5"/>
  <c r="O156" i="5"/>
  <c r="O462" i="5"/>
  <c r="O152" i="5"/>
  <c r="O147" i="5"/>
  <c r="O151" i="5"/>
  <c r="O150" i="5"/>
  <c r="O505" i="5"/>
  <c r="O502" i="5"/>
  <c r="O640" i="5"/>
  <c r="P638" i="5" s="1"/>
  <c r="J486" i="5"/>
  <c r="L486" i="5" s="1"/>
  <c r="N486" i="5"/>
  <c r="O65" i="5"/>
  <c r="O520" i="5"/>
  <c r="O470" i="5"/>
  <c r="O501" i="5"/>
  <c r="O465" i="5"/>
  <c r="O478" i="5"/>
  <c r="J560" i="5"/>
  <c r="L560" i="5" s="1"/>
  <c r="N560" i="5"/>
  <c r="O474" i="5"/>
  <c r="O496" i="5"/>
  <c r="O145" i="5"/>
  <c r="O153" i="5"/>
  <c r="O62" i="5"/>
  <c r="N70" i="5"/>
  <c r="J70" i="5"/>
  <c r="L70" i="5" s="1"/>
  <c r="O154" i="5"/>
  <c r="O149" i="5"/>
  <c r="O55" i="5"/>
  <c r="O159" i="5"/>
  <c r="J17" i="5"/>
  <c r="L17" i="5" s="1"/>
  <c r="N17" i="5"/>
  <c r="O459" i="5" l="1"/>
  <c r="O458" i="5"/>
  <c r="O204" i="5"/>
  <c r="O200" i="5"/>
  <c r="O202" i="5"/>
  <c r="O70" i="5"/>
  <c r="P67" i="5" s="1"/>
  <c r="O486" i="5"/>
  <c r="O560" i="5"/>
  <c r="P557" i="5" s="1"/>
  <c r="O17" i="5"/>
  <c r="P142" i="5"/>
  <c r="N692" i="5"/>
  <c r="N694" i="5" s="1"/>
  <c r="J692" i="5"/>
  <c r="L692" i="5"/>
  <c r="P14" i="5" l="1"/>
  <c r="P59" i="5"/>
  <c r="N693" i="5"/>
  <c r="O693" i="5" s="1"/>
  <c r="P693" i="5" s="1"/>
  <c r="D7" i="5" s="1"/>
  <c r="L694" i="5"/>
  <c r="O694" i="5" s="1"/>
  <c r="P694" i="5" s="1"/>
  <c r="D8" i="5" s="1"/>
  <c r="O692" i="5"/>
  <c r="N695" i="5" l="1"/>
  <c r="P692" i="5"/>
  <c r="D6" i="5" s="1"/>
  <c r="O695" i="5"/>
  <c r="L695" i="5"/>
  <c r="P695" i="5" l="1"/>
  <c r="D9" i="5" s="1"/>
  <c r="D11" i="1" s="1"/>
  <c r="A17" i="5" l="1"/>
  <c r="A18" i="5" l="1"/>
  <c r="A20" i="5" s="1"/>
  <c r="A21" i="5" l="1"/>
  <c r="A23" i="5" s="1"/>
</calcChain>
</file>

<file path=xl/sharedStrings.xml><?xml version="1.0" encoding="utf-8"?>
<sst xmlns="http://schemas.openxmlformats.org/spreadsheetml/2006/main" count="1940" uniqueCount="408">
  <si>
    <t>Project Cost Summary</t>
  </si>
  <si>
    <t>Date:</t>
  </si>
  <si>
    <t>Project Title:</t>
  </si>
  <si>
    <t>Project Location:</t>
  </si>
  <si>
    <t>Total Cost</t>
  </si>
  <si>
    <t>Base Bid</t>
  </si>
  <si>
    <t>Note: Changing values here will change the values in complete project</t>
  </si>
  <si>
    <t>Unit Wastage Percentages</t>
  </si>
  <si>
    <t>Unit</t>
  </si>
  <si>
    <t>Wastage</t>
  </si>
  <si>
    <t>EA</t>
  </si>
  <si>
    <t>LF</t>
  </si>
  <si>
    <t>SF</t>
  </si>
  <si>
    <t>LS</t>
  </si>
  <si>
    <t>LBS</t>
  </si>
  <si>
    <t>TONS</t>
  </si>
  <si>
    <t>CY</t>
  </si>
  <si>
    <t>Div No:</t>
  </si>
  <si>
    <t>Description</t>
  </si>
  <si>
    <t>Sub-Total=</t>
  </si>
  <si>
    <t>Material Tax=</t>
  </si>
  <si>
    <t>Overhead and Profit=</t>
  </si>
  <si>
    <t>Sr#</t>
  </si>
  <si>
    <t>Ref Sheet</t>
  </si>
  <si>
    <t>Quantity</t>
  </si>
  <si>
    <t>Wastage %</t>
  </si>
  <si>
    <t>Quantity With Wastage</t>
  </si>
  <si>
    <t>Unit Labor Hour</t>
  </si>
  <si>
    <t>Total Labor Hour</t>
  </si>
  <si>
    <t>Per Hour Labor Rate</t>
  </si>
  <si>
    <t>Total Labor Hour Rate</t>
  </si>
  <si>
    <t>Unit Material Cost</t>
  </si>
  <si>
    <t>Total Material Cost</t>
  </si>
  <si>
    <t>Trade Cost</t>
  </si>
  <si>
    <t>MATERIAL TAKEOFF AND COST SUMMARY</t>
  </si>
  <si>
    <t>Total Bid=</t>
  </si>
  <si>
    <t>Gross area of Structure=</t>
  </si>
  <si>
    <t>Internal Area of Structure=</t>
  </si>
  <si>
    <t>No. of Floors=</t>
  </si>
  <si>
    <t>Total Labor Cost</t>
  </si>
  <si>
    <t>Item Cost</t>
  </si>
  <si>
    <t>Total=</t>
  </si>
  <si>
    <t>Div-05</t>
  </si>
  <si>
    <t>Metals</t>
  </si>
  <si>
    <t>Paint</t>
  </si>
  <si>
    <t>Div-08</t>
  </si>
  <si>
    <t>Openings</t>
  </si>
  <si>
    <t>Doors</t>
  </si>
  <si>
    <t>Door Hardware</t>
  </si>
  <si>
    <t>Windows</t>
  </si>
  <si>
    <t>Div-09</t>
  </si>
  <si>
    <t>Finishes</t>
  </si>
  <si>
    <t>Stud Walls</t>
  </si>
  <si>
    <t>Floor Finishes</t>
  </si>
  <si>
    <t>Floor Tiles</t>
  </si>
  <si>
    <t>Ceiling Finishes</t>
  </si>
  <si>
    <t>Base</t>
  </si>
  <si>
    <t>Transition Strip</t>
  </si>
  <si>
    <t>Wall Tiles</t>
  </si>
  <si>
    <t>Div-10</t>
  </si>
  <si>
    <t>Div-12</t>
  </si>
  <si>
    <t>Specialties</t>
  </si>
  <si>
    <t>Wall Paint</t>
  </si>
  <si>
    <t>Furnishing</t>
  </si>
  <si>
    <t>Cabinetry &amp; Millwork</t>
  </si>
  <si>
    <t>Div-03</t>
  </si>
  <si>
    <t>Concrete</t>
  </si>
  <si>
    <t>Concrete Slab</t>
  </si>
  <si>
    <t>Mobilization</t>
  </si>
  <si>
    <t>Mobilization for Concrete</t>
  </si>
  <si>
    <t>Acoustical Sealant at Top and Bottom on Both Sides</t>
  </si>
  <si>
    <t>Tapping</t>
  </si>
  <si>
    <t>Mudding Compound</t>
  </si>
  <si>
    <t>Screws</t>
  </si>
  <si>
    <t>Ceiling Paint</t>
  </si>
  <si>
    <t>Door Paint</t>
  </si>
  <si>
    <t>See Snip on Right for Details</t>
  </si>
  <si>
    <t>Door Trim</t>
  </si>
  <si>
    <t>Toilet Accessories</t>
  </si>
  <si>
    <t>Toilet Partition</t>
  </si>
  <si>
    <t>Div-26</t>
  </si>
  <si>
    <t>Electrical</t>
  </si>
  <si>
    <t>Lighting Items</t>
  </si>
  <si>
    <t>Conduits</t>
  </si>
  <si>
    <t>Wiring</t>
  </si>
  <si>
    <t>Div-06</t>
  </si>
  <si>
    <t>Wood, Plastics and Sheathing</t>
  </si>
  <si>
    <t>Trim Paint</t>
  </si>
  <si>
    <t>Div-11</t>
  </si>
  <si>
    <t>Equipment</t>
  </si>
  <si>
    <t>Div-22</t>
  </si>
  <si>
    <t>Plumbing</t>
  </si>
  <si>
    <t>Fixtures</t>
  </si>
  <si>
    <t>Div-23</t>
  </si>
  <si>
    <t>Heating, Ventilating, and Air Conditioning  (HVAC)</t>
  </si>
  <si>
    <t>Mics Items</t>
  </si>
  <si>
    <t>Jacobsen Residence</t>
  </si>
  <si>
    <t>201 Grandview Street, Penticton, BC</t>
  </si>
  <si>
    <t>FL1- Sealed Concrete</t>
  </si>
  <si>
    <t>Schluter Transition Strip</t>
  </si>
  <si>
    <t>(3'-6" X 8'-0") Frameless Glass Door W/ WD Frame</t>
  </si>
  <si>
    <t>(5'-0" X 8'-0") SCWD Door W/ WD Frame</t>
  </si>
  <si>
    <t>(3'-0" X 8'-0") SCWD Door W/ WD Frame</t>
  </si>
  <si>
    <t>(2'-8" X 8'-0") SCWD Door W/ WD Frame</t>
  </si>
  <si>
    <t>(16'-0" X 8'-0") Frameless Glass Door W/ WD Frame</t>
  </si>
  <si>
    <t>(4'-0" X 8'-0") SCWD Door W/ WD Frame</t>
  </si>
  <si>
    <t>(3'-0" X 8'-0") Vinyl Laminated Glass Door W/ WD Frame!</t>
  </si>
  <si>
    <t>(2'-6" X 8'-0") SCWD Door W/ WD Frame</t>
  </si>
  <si>
    <t>(16'-0" X 8'-0") SCWD Door W/ WD Frame</t>
  </si>
  <si>
    <t>(6'-0" X 8'-0") SCWD Door W/ WD Frame</t>
  </si>
  <si>
    <t>(8'-9" X 8'-0") Vinyl Laminated Glass Door W/ WD Frame</t>
  </si>
  <si>
    <t>(16'-0" X 8'-0") Vinyl Laminated Glass Door W/ WD Frame</t>
  </si>
  <si>
    <t>Allowance for Door Hardware</t>
  </si>
  <si>
    <t>(3'-9" X 8'-0") Fixed Aluminum Window W/ Lower Operable Awning</t>
  </si>
  <si>
    <t>(3'-9" X 8'-0") Fixed Aluminum Window</t>
  </si>
  <si>
    <t>(4'-0" X 8'-0") Fixed Aluminum Window</t>
  </si>
  <si>
    <t>(4'-0" X 4'-6") Fixed Aluminum Window W/ Left Hinge Tilt and Turn</t>
  </si>
  <si>
    <t>(7'-0" X 2'-0") Fixed Aluminum Window W/ Right Hinge Tilt and Turn</t>
  </si>
  <si>
    <t>(11'-6" X 2'-0") Fixed Aluminum Window W/ Right Hinge Tilt and Turn</t>
  </si>
  <si>
    <t>(3'-11" X 8'-0") Fixed Aluminum Window</t>
  </si>
  <si>
    <t>(6'-0" X 8'-0") Fixed Aluminum Window</t>
  </si>
  <si>
    <t>(4'-6" X 8'-0") Fixed Aluminum Window</t>
  </si>
  <si>
    <t>(2'-0" X 7'-0") Fixed Aluminum Window W/ Upper Operable Awning</t>
  </si>
  <si>
    <t>(4'-0" X 7'-0") Fixed Aluminum Window W/ Lower Operable Awning</t>
  </si>
  <si>
    <t>(4'-0" X 7'-0") Fixed Aluminum Window</t>
  </si>
  <si>
    <t>(2'-0" X 7'-0") Fixed Aluminum Window</t>
  </si>
  <si>
    <t>(3'-9" X 7'-0") Fixed Aluminum Window</t>
  </si>
  <si>
    <t>(5'-0" X 7'-0") Fixed Aluminum Window</t>
  </si>
  <si>
    <t>(5'-9" X 7'-0") Fixed Aluminum Window</t>
  </si>
  <si>
    <t>(9'-8" X 2'-0") Fixed Aluminum Window W/ Left Hinge Tilt &amp; Turn</t>
  </si>
  <si>
    <t>(3'-0" X 2'-0") Upper Operable Window</t>
  </si>
  <si>
    <t>Div-32</t>
  </si>
  <si>
    <t>Exterior Improvements</t>
  </si>
  <si>
    <t>Earthwork</t>
  </si>
  <si>
    <t>Div-31</t>
  </si>
  <si>
    <t>(3'-0" X 9'-4" X 24" H) Planter</t>
  </si>
  <si>
    <t>(3'-0" X 20'-8" X 24" H) Planter</t>
  </si>
  <si>
    <t>Landscaping</t>
  </si>
  <si>
    <t>Shrubs</t>
  </si>
  <si>
    <t>(4" Dia) Exterior Recessed Ceiling Light</t>
  </si>
  <si>
    <t>(4" Dia) Recessed Ceiling Light</t>
  </si>
  <si>
    <t>(2" Dia) Recessed Ceiling Light</t>
  </si>
  <si>
    <t>Ceiling Mounted Luminaire</t>
  </si>
  <si>
    <t>Ceiling Fan W/ Downlight</t>
  </si>
  <si>
    <t>Wall Sconce</t>
  </si>
  <si>
    <t>Exterior Wall Mounted Light</t>
  </si>
  <si>
    <t>(6" X 48") Ceiling Light</t>
  </si>
  <si>
    <t>Pendent Light</t>
  </si>
  <si>
    <t>LED Strip Lighting</t>
  </si>
  <si>
    <t>GFCI Duplex Receptacle</t>
  </si>
  <si>
    <t>Duplex Receptacle</t>
  </si>
  <si>
    <r>
      <t>Receptacles</t>
    </r>
    <r>
      <rPr>
        <b/>
        <sz val="12"/>
        <color rgb="FFFF0000"/>
        <rFont val="Calibri"/>
        <family val="2"/>
        <scheme val="minor"/>
      </rPr>
      <t xml:space="preserve"> (Assumed)</t>
    </r>
  </si>
  <si>
    <r>
      <t xml:space="preserve">Switch </t>
    </r>
    <r>
      <rPr>
        <b/>
        <sz val="12"/>
        <color rgb="FFFF0000"/>
        <rFont val="Calibri"/>
        <family val="2"/>
        <scheme val="minor"/>
      </rPr>
      <t>(Assumed)</t>
    </r>
  </si>
  <si>
    <t>One Way Switch</t>
  </si>
  <si>
    <t>(120/ 240V, 1 Phase, 100A) Panel</t>
  </si>
  <si>
    <t>Allowance for HVAC Unit and Ductwork - (4800 SF)</t>
  </si>
  <si>
    <t>Allowance for Water and Waste Piping - (4800 SF)</t>
  </si>
  <si>
    <t>(6'-9" H) Glass Enclosure</t>
  </si>
  <si>
    <t>(24" X 36") Mirror</t>
  </si>
  <si>
    <t>(7'-0" X 36") Mirror</t>
  </si>
  <si>
    <t>(30" X 36") Mirror</t>
  </si>
  <si>
    <t>(36" X 36") Mirror</t>
  </si>
  <si>
    <t>(46" X 36") Mirror</t>
  </si>
  <si>
    <t>(28" X 52") Pivot Mirror</t>
  </si>
  <si>
    <t>(30" X 60") Shower Pan</t>
  </si>
  <si>
    <t>(6'-10" X 6'-4") Hot Tub</t>
  </si>
  <si>
    <t>Washer</t>
  </si>
  <si>
    <t>Dryer</t>
  </si>
  <si>
    <t>(24" Wide) Countertop</t>
  </si>
  <si>
    <t>(4" H) Backsplash</t>
  </si>
  <si>
    <t>(24" Deep X 36" H) Base Cabinet</t>
  </si>
  <si>
    <t>(12" Deep X 36" H) Upper Cabinet</t>
  </si>
  <si>
    <t>(12" Deep X 27" H) Upper Cabinet</t>
  </si>
  <si>
    <t>(12" Deep X 22" H) Upper Cabinet</t>
  </si>
  <si>
    <t>(24" Deep X 9'-10" H) Full Wall Cabinet</t>
  </si>
  <si>
    <t>(12" Deep X 12" H) Open Shelves</t>
  </si>
  <si>
    <t>(22" Deep X 36" H) Floating Vanity</t>
  </si>
  <si>
    <t>(24" Deep X 36" H) Floating Vanity</t>
  </si>
  <si>
    <t>(10" Wide) Floating Shelves</t>
  </si>
  <si>
    <t>(12" Wide) Floating Shelves</t>
  </si>
  <si>
    <t>(14" Wide) Shelving</t>
  </si>
  <si>
    <t>(16" Wide) Shelving</t>
  </si>
  <si>
    <t>Shelving Rod</t>
  </si>
  <si>
    <t>(20" Wide X 14" H) Floating Storage Bench</t>
  </si>
  <si>
    <t>Exterior Paint</t>
  </si>
  <si>
    <t>Steel Column</t>
  </si>
  <si>
    <r>
      <t>(8 X 8 X 1/4) HSS</t>
    </r>
    <r>
      <rPr>
        <sz val="12"/>
        <color rgb="FFFF0000"/>
        <rFont val="Calibri"/>
        <family val="2"/>
        <scheme val="minor"/>
      </rPr>
      <t xml:space="preserve"> (Section Assumed, Please Verify)</t>
    </r>
  </si>
  <si>
    <t>Wooden Post</t>
  </si>
  <si>
    <t>(6 X 6) Wooden Post</t>
  </si>
  <si>
    <t>Wooden Beam</t>
  </si>
  <si>
    <t>3 (2 x 6) Header</t>
  </si>
  <si>
    <t>Ceiling Joist</t>
  </si>
  <si>
    <t>Roof Framing</t>
  </si>
  <si>
    <t>Plywood Sheathing</t>
  </si>
  <si>
    <t>Interior Railing</t>
  </si>
  <si>
    <t>Exterior Railing</t>
  </si>
  <si>
    <t>(36" H) Glass Railing W/ Wooden Handrail Cap</t>
  </si>
  <si>
    <t>(3'-9" H) Glass Railing W/ Wooden Handrail Cap</t>
  </si>
  <si>
    <t>Stairs</t>
  </si>
  <si>
    <t>Div-07</t>
  </si>
  <si>
    <t>Thermal &amp; Moisture Protection</t>
  </si>
  <si>
    <t>Roofing</t>
  </si>
  <si>
    <t>Exterior Finishes</t>
  </si>
  <si>
    <t>Roof Drain</t>
  </si>
  <si>
    <t>Rain Water Leader</t>
  </si>
  <si>
    <t>(12" X 24") Splash Pad</t>
  </si>
  <si>
    <t>Overflow Scupper</t>
  </si>
  <si>
    <t>(4" X 4") Metal Gutter</t>
  </si>
  <si>
    <t>8- (14" Wide) Metal Cap Flashing</t>
  </si>
  <si>
    <t>(16" Wide) Prefinished Flashing</t>
  </si>
  <si>
    <t>(3" Dia) Downspout</t>
  </si>
  <si>
    <t>Div-13</t>
  </si>
  <si>
    <t>Conveying Equipment</t>
  </si>
  <si>
    <t>(5'-0" X 4'-10") Elevator</t>
  </si>
  <si>
    <t>Shade Structure</t>
  </si>
  <si>
    <t>Standing Seam Metal Roofing</t>
  </si>
  <si>
    <t>Concrete Pad Footing</t>
  </si>
  <si>
    <t>#5 Bar</t>
  </si>
  <si>
    <t>Concrete Strip Footing</t>
  </si>
  <si>
    <t>(18" Wide X 12" Deep) Cont. Concrete Footing</t>
  </si>
  <si>
    <r>
      <t xml:space="preserve">(24" X 24" X 12") Concrete Pad Footing </t>
    </r>
    <r>
      <rPr>
        <b/>
        <sz val="12"/>
        <color theme="1"/>
        <rFont val="Calibri"/>
        <family val="2"/>
        <scheme val="minor"/>
      </rPr>
      <t>- (12 Ea.)</t>
    </r>
  </si>
  <si>
    <r>
      <t xml:space="preserve">(8'-6" X 7'-6" X 24") Concrete Pad Footing </t>
    </r>
    <r>
      <rPr>
        <b/>
        <sz val="12"/>
        <color theme="1"/>
        <rFont val="Calibri"/>
        <family val="2"/>
        <scheme val="minor"/>
      </rPr>
      <t>- (1Ea.)</t>
    </r>
  </si>
  <si>
    <r>
      <t xml:space="preserve">(60" X 60" X 12") Concrete Pad Footing </t>
    </r>
    <r>
      <rPr>
        <b/>
        <sz val="12"/>
        <color theme="1"/>
        <rFont val="Calibri"/>
        <family val="2"/>
        <scheme val="minor"/>
      </rPr>
      <t>- (1Ea.)</t>
    </r>
  </si>
  <si>
    <r>
      <t xml:space="preserve">(48" X 48" X 12") Concrete Pad Footing </t>
    </r>
    <r>
      <rPr>
        <b/>
        <sz val="12"/>
        <color theme="1"/>
        <rFont val="Calibri"/>
        <family val="2"/>
        <scheme val="minor"/>
      </rPr>
      <t>- (1Ea.)</t>
    </r>
  </si>
  <si>
    <r>
      <t xml:space="preserve">(36" X 36" X 12") Concrete Pad Footing </t>
    </r>
    <r>
      <rPr>
        <b/>
        <sz val="12"/>
        <color theme="1"/>
        <rFont val="Calibri"/>
        <family val="2"/>
        <scheme val="minor"/>
      </rPr>
      <t>- (9 Ea.)</t>
    </r>
  </si>
  <si>
    <r>
      <t xml:space="preserve">(18" Wide X 12" Deep) Cont. Concrete Footing </t>
    </r>
    <r>
      <rPr>
        <b/>
        <sz val="12"/>
        <color theme="1"/>
        <rFont val="Calibri"/>
        <family val="2"/>
        <scheme val="minor"/>
      </rPr>
      <t>- (253 LF)</t>
    </r>
  </si>
  <si>
    <r>
      <t xml:space="preserve">(24" Wide X 12" Deep) Cont. Concrete Footing </t>
    </r>
    <r>
      <rPr>
        <b/>
        <sz val="12"/>
        <color theme="1"/>
        <rFont val="Calibri"/>
        <family val="2"/>
        <scheme val="minor"/>
      </rPr>
      <t>- (36 LF)</t>
    </r>
  </si>
  <si>
    <t>Concrete Foundation Wall</t>
  </si>
  <si>
    <r>
      <t xml:space="preserve">(8" Thk X 30" H) Concrete Foundation Wall </t>
    </r>
    <r>
      <rPr>
        <b/>
        <sz val="12"/>
        <color theme="1"/>
        <rFont val="Calibri"/>
        <family val="2"/>
        <scheme val="minor"/>
      </rPr>
      <t>- (198 LF)</t>
    </r>
  </si>
  <si>
    <t>F1- (4" Thk) Concrete Slab on Grade</t>
  </si>
  <si>
    <t>Poly Vapor Barrier</t>
  </si>
  <si>
    <t>R12- 2.5" XPS Rigid Insulation</t>
  </si>
  <si>
    <t>Misc.</t>
  </si>
  <si>
    <t>Formwork for Footing</t>
  </si>
  <si>
    <t>Mobilization for Steel</t>
  </si>
  <si>
    <t>6" Compacted Fill</t>
  </si>
  <si>
    <t>Mobilization for Aggregate</t>
  </si>
  <si>
    <t>7/8" Furring Channel @ 16" O.C</t>
  </si>
  <si>
    <t>(2 X 4) Wood Stud @ 16" O.C</t>
  </si>
  <si>
    <t>(48" H) Glass Railing</t>
  </si>
  <si>
    <t>Site Amenities</t>
  </si>
  <si>
    <t>(24" Wide X 6'-0" H) Cast in Place Concrete Feature Wall</t>
  </si>
  <si>
    <t>(4'-5" X 2'-0") Fireplace</t>
  </si>
  <si>
    <t>(48" H X 8" Thk) Foundation Wall</t>
  </si>
  <si>
    <t>(96" H X 8" Thk) Foundation Wall</t>
  </si>
  <si>
    <t>(60" H X 8" Thk) Foundation Wall</t>
  </si>
  <si>
    <t>(6" Thk) Concrete Slab</t>
  </si>
  <si>
    <t>(12" Thk) Pool Concrete Slab</t>
  </si>
  <si>
    <t>(24" Wide X 16" H) Concrete Bench</t>
  </si>
  <si>
    <t>(7'-0" X 7'-0") Hot Tube</t>
  </si>
  <si>
    <t>Fence</t>
  </si>
  <si>
    <t>Privacy Fence @ 5'-6" H</t>
  </si>
  <si>
    <t>Glass Pool Fence</t>
  </si>
  <si>
    <t>(12'-2" X 6'-0") Fence Gate</t>
  </si>
  <si>
    <t>(4'-6" X 6'-0") Fence Gate</t>
  </si>
  <si>
    <t>(3'-6" X 6'-0") Pool Fence Gate</t>
  </si>
  <si>
    <t>(2'-9" X 3'-0") Fireplace</t>
  </si>
  <si>
    <t>F2- (3" Thk) Concrete Topping</t>
  </si>
  <si>
    <t>Insulation</t>
  </si>
  <si>
    <t>R50 Thermal Batt Insulation</t>
  </si>
  <si>
    <t>(11-7/8" H) I Joist @ 16" O.C</t>
  </si>
  <si>
    <t>(16" H) Engineered TJI Roof Joist</t>
  </si>
  <si>
    <t>2" Polyiso Insulation</t>
  </si>
  <si>
    <t>Protection Board</t>
  </si>
  <si>
    <t>Tapered Insulation</t>
  </si>
  <si>
    <r>
      <t>(12" X 12" X 1/2") Base Plate</t>
    </r>
    <r>
      <rPr>
        <sz val="12"/>
        <color rgb="FFFF0000"/>
        <rFont val="Calibri"/>
        <family val="2"/>
        <scheme val="minor"/>
      </rPr>
      <t xml:space="preserve"> (Section Assumed, Please Verify)</t>
    </r>
  </si>
  <si>
    <r>
      <rPr>
        <b/>
        <sz val="12"/>
        <color theme="1"/>
        <rFont val="Calibri"/>
        <family val="2"/>
        <scheme val="minor"/>
      </rPr>
      <t>8.25" Hardi Lap Siding</t>
    </r>
    <r>
      <rPr>
        <sz val="12"/>
        <color theme="1"/>
        <rFont val="Calibri"/>
        <family val="2"/>
        <scheme val="minor"/>
      </rPr>
      <t xml:space="preserve">
Product: Woodtone Rustic Series Summer Wheat</t>
    </r>
  </si>
  <si>
    <r>
      <rPr>
        <b/>
        <sz val="12"/>
        <color theme="1"/>
        <rFont val="Calibri"/>
        <family val="2"/>
        <scheme val="minor"/>
      </rPr>
      <t xml:space="preserve">Porcelain Veneer Panel
</t>
    </r>
    <r>
      <rPr>
        <sz val="12"/>
        <color theme="1"/>
        <rFont val="Calibri"/>
        <family val="2"/>
        <scheme val="minor"/>
      </rPr>
      <t>Product: Opal Travertine CM84</t>
    </r>
  </si>
  <si>
    <r>
      <rPr>
        <b/>
        <sz val="12"/>
        <color theme="1"/>
        <rFont val="Calibri"/>
        <family val="2"/>
        <scheme val="minor"/>
      </rPr>
      <t xml:space="preserve">Porcelain Veneer Panel
</t>
    </r>
    <r>
      <rPr>
        <sz val="12"/>
        <color theme="1"/>
        <rFont val="Calibri"/>
        <family val="2"/>
        <scheme val="minor"/>
      </rPr>
      <t>Product: Hearth Smoke CM08</t>
    </r>
  </si>
  <si>
    <t>8- (12" H) James Hardie Cementitious Fascia</t>
  </si>
  <si>
    <t>8- (18" H) James Hardie Cementitious Fascia</t>
  </si>
  <si>
    <t>8- (14" H) James Hardie Cementitious Fascia</t>
  </si>
  <si>
    <t>Sealant</t>
  </si>
  <si>
    <t>Sealant for Doors</t>
  </si>
  <si>
    <t>Sealant for Windows</t>
  </si>
  <si>
    <r>
      <rPr>
        <b/>
        <sz val="12"/>
        <color theme="1"/>
        <rFont val="Calibri"/>
        <family val="2"/>
        <scheme val="minor"/>
      </rPr>
      <t xml:space="preserve">(2 X 6) Timber (Stained and Sealed)
</t>
    </r>
    <r>
      <rPr>
        <sz val="12"/>
        <color theme="1"/>
        <rFont val="Calibri"/>
        <family val="2"/>
        <scheme val="minor"/>
      </rPr>
      <t>Coating: Sikkens Cetol Log &amp; Siding, Teak</t>
    </r>
  </si>
  <si>
    <r>
      <rPr>
        <b/>
        <sz val="12"/>
        <color theme="1"/>
        <rFont val="Calibri"/>
        <family val="2"/>
        <scheme val="minor"/>
      </rPr>
      <t xml:space="preserve">(8 X 8) Timber (Stained and Sealed)
</t>
    </r>
    <r>
      <rPr>
        <sz val="12"/>
        <color theme="1"/>
        <rFont val="Calibri"/>
        <family val="2"/>
        <scheme val="minor"/>
      </rPr>
      <t>Coating: Sikkens Cetol Log &amp; Siding, Teak</t>
    </r>
  </si>
  <si>
    <r>
      <rPr>
        <b/>
        <sz val="12"/>
        <color theme="1"/>
        <rFont val="Calibri"/>
        <family val="2"/>
        <scheme val="minor"/>
      </rPr>
      <t xml:space="preserve">(2 X 8) Timber (Stained and Sealed)
</t>
    </r>
    <r>
      <rPr>
        <sz val="12"/>
        <color theme="1"/>
        <rFont val="Calibri"/>
        <family val="2"/>
        <scheme val="minor"/>
      </rPr>
      <t>Coating: Sikkens Cetol Log &amp; Siding, Teak</t>
    </r>
  </si>
  <si>
    <r>
      <rPr>
        <b/>
        <sz val="12"/>
        <color theme="1"/>
        <rFont val="Calibri"/>
        <family val="2"/>
        <scheme val="minor"/>
      </rPr>
      <t>(1 X 6) Exterior Wood Plank Ceiling (Stained)</t>
    </r>
    <r>
      <rPr>
        <sz val="12"/>
        <color theme="1"/>
        <rFont val="Calibri"/>
        <family val="2"/>
        <scheme val="minor"/>
      </rPr>
      <t xml:space="preserve">
Coating: Sikkens Cetol Log &amp; Siding, Teak</t>
    </r>
  </si>
  <si>
    <t>C1- 5/8" Green Gypsum Board Ceiling</t>
  </si>
  <si>
    <t>C1- 5/8" Gypsum Board Ceiling</t>
  </si>
  <si>
    <t>Exterior BBQ Grill</t>
  </si>
  <si>
    <r>
      <rPr>
        <b/>
        <sz val="12"/>
        <color theme="1"/>
        <rFont val="Calibri"/>
        <family val="2"/>
        <scheme val="minor"/>
      </rPr>
      <t xml:space="preserve">FL5- 8" Hardwood Flooring
</t>
    </r>
    <r>
      <rPr>
        <sz val="12"/>
        <color theme="1"/>
        <rFont val="Calibri"/>
        <family val="2"/>
        <scheme val="minor"/>
      </rPr>
      <t>Manufacturer: Craft Artisan Wood Floors
Series: Legacy Plank
Color: Montiel, Walnut (Med Brown)</t>
    </r>
  </si>
  <si>
    <r>
      <rPr>
        <b/>
        <sz val="12"/>
        <color theme="1"/>
        <rFont val="Calibri"/>
        <family val="2"/>
        <scheme val="minor"/>
      </rPr>
      <t xml:space="preserve">FL2- (47" X 98") Porcelain Tile 
</t>
    </r>
    <r>
      <rPr>
        <sz val="12"/>
        <color theme="1"/>
        <rFont val="Calibri"/>
        <family val="2"/>
        <scheme val="minor"/>
      </rPr>
      <t>Manufacturer: Porcelanosa
Series: Xlight
Color: Stark Sand, Nature</t>
    </r>
  </si>
  <si>
    <r>
      <rPr>
        <b/>
        <sz val="12"/>
        <color theme="1"/>
        <rFont val="Calibri"/>
        <family val="2"/>
        <scheme val="minor"/>
      </rPr>
      <t xml:space="preserve">FL3- (23" X 23") Porcelain Tile
</t>
    </r>
    <r>
      <rPr>
        <sz val="12"/>
        <color theme="1"/>
        <rFont val="Calibri"/>
        <family val="2"/>
        <scheme val="minor"/>
      </rPr>
      <t>Manufacturer: Porcelanosa
Series: Xlight
Color: Core Sand, Antislip</t>
    </r>
  </si>
  <si>
    <r>
      <rPr>
        <b/>
        <sz val="12"/>
        <color theme="1"/>
        <rFont val="Calibri"/>
        <family val="2"/>
        <scheme val="minor"/>
      </rPr>
      <t xml:space="preserve">FL4- (12" X 12") Mosaic Tile
</t>
    </r>
    <r>
      <rPr>
        <sz val="12"/>
        <color theme="1"/>
        <rFont val="Calibri"/>
        <family val="2"/>
        <scheme val="minor"/>
      </rPr>
      <t>Manufacturer: Dal Tile
Series: Stone Attache, Dignitary, Colorbody Porcelain
Color: Superior Taupe DR08</t>
    </r>
  </si>
  <si>
    <r>
      <rPr>
        <b/>
        <sz val="12"/>
        <color theme="1"/>
        <rFont val="Calibri"/>
        <family val="2"/>
        <scheme val="minor"/>
      </rPr>
      <t xml:space="preserve">FL6- (12" X 24") Porcelain Tile
</t>
    </r>
    <r>
      <rPr>
        <sz val="12"/>
        <color theme="1"/>
        <rFont val="Calibri"/>
        <family val="2"/>
        <scheme val="minor"/>
      </rPr>
      <t>Manufacturer: Dal Tile
Series: Stone Attache. Dignitary, Colorbody Porcelain
Color: Superior Taupe DR08</t>
    </r>
  </si>
  <si>
    <r>
      <rPr>
        <b/>
        <sz val="12"/>
        <color theme="1"/>
        <rFont val="Calibri"/>
        <family val="2"/>
        <scheme val="minor"/>
      </rPr>
      <t xml:space="preserve">FL7- (12" X 24") Outdoor Paver Porcelain Tile
</t>
    </r>
    <r>
      <rPr>
        <sz val="12"/>
        <color theme="1"/>
        <rFont val="Calibri"/>
        <family val="2"/>
        <scheme val="minor"/>
      </rPr>
      <t>Manufacturer: Dal Tile
Series: Stone Attache. Dignitary, Colorbody Porcelain
Color: Superior Taupe DR08</t>
    </r>
  </si>
  <si>
    <r>
      <rPr>
        <b/>
        <sz val="12"/>
        <color theme="1"/>
        <rFont val="Calibri"/>
        <family val="2"/>
        <scheme val="minor"/>
      </rPr>
      <t xml:space="preserve">FL8- (24" X 24") Outdoor Porcelain Tile
</t>
    </r>
    <r>
      <rPr>
        <sz val="12"/>
        <color theme="1"/>
        <rFont val="Calibri"/>
        <family val="2"/>
        <scheme val="minor"/>
      </rPr>
      <t>Manufacturer: Dal Tile
Series: Stone Attache. Dignitary, Colorbody Porcelain
Color: Superior Taupe DR08, Matte.</t>
    </r>
  </si>
  <si>
    <r>
      <rPr>
        <b/>
        <sz val="12"/>
        <color theme="1"/>
        <rFont val="Calibri"/>
        <family val="2"/>
        <scheme val="minor"/>
      </rPr>
      <t xml:space="preserve">T1- (23" X 23") Wall Tile
</t>
    </r>
    <r>
      <rPr>
        <sz val="12"/>
        <color theme="1"/>
        <rFont val="Calibri"/>
        <family val="2"/>
        <scheme val="minor"/>
      </rPr>
      <t>Manufacturer: Porcelanosa
Series: Core Sand, Nature</t>
    </r>
  </si>
  <si>
    <r>
      <rPr>
        <b/>
        <sz val="12"/>
        <color theme="1"/>
        <rFont val="Calibri"/>
        <family val="2"/>
        <scheme val="minor"/>
      </rPr>
      <t xml:space="preserve">T2- (12" X 12") Mosaic Wall Tile
</t>
    </r>
    <r>
      <rPr>
        <sz val="12"/>
        <color theme="1"/>
        <rFont val="Calibri"/>
        <family val="2"/>
        <scheme val="minor"/>
      </rPr>
      <t>Manufacturer: Dal Tile
Series: Stone Attache, Dignitary, Colorbody
Color: Superior Taupe DR08</t>
    </r>
  </si>
  <si>
    <r>
      <rPr>
        <b/>
        <sz val="12"/>
        <color theme="1"/>
        <rFont val="Calibri"/>
        <family val="2"/>
        <scheme val="minor"/>
      </rPr>
      <t xml:space="preserve">T3- Wall Tile Backsplash
</t>
    </r>
    <r>
      <rPr>
        <sz val="12"/>
        <color theme="1"/>
        <rFont val="Calibri"/>
        <family val="2"/>
        <scheme val="minor"/>
      </rPr>
      <t>Manufacturer: Dal Tile
Series: Stone Attache, Dignitary, Colorbody
Color: Luminary White DR07</t>
    </r>
  </si>
  <si>
    <r>
      <rPr>
        <b/>
        <sz val="12"/>
        <color theme="1"/>
        <rFont val="Calibri"/>
        <family val="2"/>
        <scheme val="minor"/>
      </rPr>
      <t xml:space="preserve">T3- Wall Tile
</t>
    </r>
    <r>
      <rPr>
        <sz val="12"/>
        <color theme="1"/>
        <rFont val="Calibri"/>
        <family val="2"/>
        <scheme val="minor"/>
      </rPr>
      <t>Manufacturer: Dal Tile
Series: Stone Attache, Dignitary, Colorbody
Color: Luminary White DR07</t>
    </r>
  </si>
  <si>
    <r>
      <rPr>
        <b/>
        <sz val="12"/>
        <color theme="1"/>
        <rFont val="Calibri"/>
        <family val="2"/>
        <scheme val="minor"/>
      </rPr>
      <t xml:space="preserve">T4- Stone Cladding
</t>
    </r>
    <r>
      <rPr>
        <sz val="12"/>
        <color theme="1"/>
        <rFont val="Calibri"/>
        <family val="2"/>
        <scheme val="minor"/>
      </rPr>
      <t>Manufacturer: Creative Minds
Series: Stone Attache, Dignitary, Colorbody
Color: Luminary White DR07</t>
    </r>
  </si>
  <si>
    <r>
      <rPr>
        <b/>
        <sz val="12"/>
        <color theme="1"/>
        <rFont val="Calibri"/>
        <family val="2"/>
        <scheme val="minor"/>
      </rPr>
      <t xml:space="preserve">Paint on Wall - PT2
</t>
    </r>
    <r>
      <rPr>
        <sz val="12"/>
        <color theme="1"/>
        <rFont val="Calibri"/>
        <family val="2"/>
        <scheme val="minor"/>
      </rPr>
      <t>Manufacturer: Cloverdale 
Series: 0382 Premium Classic Pearl Latex 
Color: 0011 Sugar Dust, White</t>
    </r>
  </si>
  <si>
    <r>
      <rPr>
        <b/>
        <sz val="12"/>
        <color theme="1"/>
        <rFont val="Calibri"/>
        <family val="2"/>
        <scheme val="minor"/>
      </rPr>
      <t xml:space="preserve">Paint on Wall - PT3
</t>
    </r>
    <r>
      <rPr>
        <sz val="12"/>
        <color theme="1"/>
        <rFont val="Calibri"/>
        <family val="2"/>
        <scheme val="minor"/>
      </rPr>
      <t>Manufacturer: Cloverdale 
Series: 03242 Premium Classic Pearl Latex
Color: 0011 Sugar Dust, White</t>
    </r>
  </si>
  <si>
    <r>
      <rPr>
        <b/>
        <sz val="12"/>
        <color theme="1"/>
        <rFont val="Calibri"/>
        <family val="2"/>
        <scheme val="minor"/>
      </rPr>
      <t xml:space="preserve">Paint on Gypsum Board Ceiling - PT1
</t>
    </r>
    <r>
      <rPr>
        <sz val="12"/>
        <color theme="1"/>
        <rFont val="Calibri"/>
        <family val="2"/>
        <scheme val="minor"/>
      </rPr>
      <t>Manufacturer: Cloverdale 
Series: 03360 Premium Classic Flat Ceiling Index
Color: 0011 Sugar Dust, White</t>
    </r>
  </si>
  <si>
    <t>Paint on (2'-6" X 8'-0") SCWD Door W/ WD Frame - PT2</t>
  </si>
  <si>
    <t>Paint on (2'-8" X 8'-0") SCWD Door W/ WD Frame - PT2</t>
  </si>
  <si>
    <t>Paint on (3'-0" X 8'-0") SCWD Door W/ WD Frame - PT2</t>
  </si>
  <si>
    <t>Paint on (4'-0" X 8'-0") SCWD Door W/ WD Frame - PT2</t>
  </si>
  <si>
    <t>Paint on (5'-0" X 8'-0") SCWD Door W/ WD Frame - PT2</t>
  </si>
  <si>
    <t>Paint on (6'-0" X 8'-0") SCWD Door W/ WD Frame - PT2</t>
  </si>
  <si>
    <t>Paint on (16'-0" X 8'-0") SCWD Door W/ WD Frame - PT2</t>
  </si>
  <si>
    <t>Paint on 8.25" Hardi Lap Siding</t>
  </si>
  <si>
    <t>Paint on (12" H) James Hardie Cementitious Fascia</t>
  </si>
  <si>
    <t>Paint on (18" H) James Hardie Cementitious Fascia</t>
  </si>
  <si>
    <t>Paint on (14" H) James Hardie Cementitious Fascia</t>
  </si>
  <si>
    <t>Equipment - 1A: Refrigerator</t>
  </si>
  <si>
    <t>Equipment - 1B: Mini Fridge Undercounter</t>
  </si>
  <si>
    <t>Equipment - 2: Dishwasher</t>
  </si>
  <si>
    <t>Equipment - 3: Undercounter Microwave</t>
  </si>
  <si>
    <t>Equipment - 4: Kitchen Sink</t>
  </si>
  <si>
    <t>Equipment - 5: Vanity Sink</t>
  </si>
  <si>
    <t>Equipment - 6: Wall Mounted Sink</t>
  </si>
  <si>
    <t>Equipment - 7A: Kitchen Faucet</t>
  </si>
  <si>
    <t>Equipment - 8: Glass Rinser</t>
  </si>
  <si>
    <t>Equipment - 9A: Bathroom Faucet</t>
  </si>
  <si>
    <t>Equipment - 10: Hood Vent</t>
  </si>
  <si>
    <t>Equipment - 11: Range/ Stove</t>
  </si>
  <si>
    <t>Equipment - 14A: Deck Mounted Tub Faucet</t>
  </si>
  <si>
    <t>Equipment - 15A: Shower Head</t>
  </si>
  <si>
    <t>Equipment - 16: Water Closet</t>
  </si>
  <si>
    <t>Equipment - 13A: (2'-6" X 5'-0") Soaker Tub, Insert</t>
  </si>
  <si>
    <t>Equipment - 13B: (3'-0" X 5'-6") Soaker Tub</t>
  </si>
  <si>
    <r>
      <t>Soap Dispenser</t>
    </r>
    <r>
      <rPr>
        <sz val="12"/>
        <color rgb="FFFF0000"/>
        <rFont val="Calibri"/>
        <family val="2"/>
        <scheme val="minor"/>
      </rPr>
      <t xml:space="preserve"> (Assumed)</t>
    </r>
  </si>
  <si>
    <r>
      <t xml:space="preserve">Paper Towel Dispenser </t>
    </r>
    <r>
      <rPr>
        <sz val="12"/>
        <color rgb="FFFF0000"/>
        <rFont val="Calibri"/>
        <family val="2"/>
        <scheme val="minor"/>
      </rPr>
      <t>(Assumed)</t>
    </r>
  </si>
  <si>
    <r>
      <t xml:space="preserve">24" SS Grab Bar </t>
    </r>
    <r>
      <rPr>
        <sz val="12"/>
        <color rgb="FFFF0000"/>
        <rFont val="Calibri"/>
        <family val="2"/>
        <scheme val="minor"/>
      </rPr>
      <t>(Assumed)</t>
    </r>
  </si>
  <si>
    <r>
      <t xml:space="preserve">36" SS Grab Bar </t>
    </r>
    <r>
      <rPr>
        <sz val="12"/>
        <color rgb="FFFF0000"/>
        <rFont val="Calibri"/>
        <family val="2"/>
        <scheme val="minor"/>
      </rPr>
      <t>(Assumed)</t>
    </r>
  </si>
  <si>
    <r>
      <t xml:space="preserve">42" SS Grab Bar </t>
    </r>
    <r>
      <rPr>
        <sz val="12"/>
        <color rgb="FFFF0000"/>
        <rFont val="Calibri"/>
        <family val="2"/>
        <scheme val="minor"/>
      </rPr>
      <t>(Assumed)</t>
    </r>
  </si>
  <si>
    <t>Excavation</t>
  </si>
  <si>
    <t>Backfill</t>
  </si>
  <si>
    <t>Soil Export</t>
  </si>
  <si>
    <t>Paint on Door Trim - PT2</t>
  </si>
  <si>
    <t>Poly Vapor Barrier @ Roof</t>
  </si>
  <si>
    <t>Poly Vapor Barrier @ Exterior</t>
  </si>
  <si>
    <t>(1) 1/2" Gypsum Board on one Side (4'X8' Ea.)</t>
  </si>
  <si>
    <t>(2 X 6) Wood Stud @ 10' H</t>
  </si>
  <si>
    <t>(2 X 6) Top and Bottom Plate</t>
  </si>
  <si>
    <t>R24 Thermal Batt Insulation</t>
  </si>
  <si>
    <t>(2 X 6) Wood Stud @ 12' H</t>
  </si>
  <si>
    <t>Interior Wall W5 (10'-2" H)</t>
  </si>
  <si>
    <t>(2 X 4) Wood Stud @ 12' H</t>
  </si>
  <si>
    <t>(2 X 4) Top and Bottom Plate</t>
  </si>
  <si>
    <t>3-1/2" Mineral Wool Batt Insulation</t>
  </si>
  <si>
    <t>Interior Wall W5 (8'-3" H) 1GB</t>
  </si>
  <si>
    <t>(1) 1/2" Green Gypsum Board on one Side (4'X8' Ea.)</t>
  </si>
  <si>
    <t>(2 X 4) Wood Stud @ 10' H</t>
  </si>
  <si>
    <t>7/16" OSB Wall Sheathing - (4'X8' Ea.)</t>
  </si>
  <si>
    <t>5/8" Plywood Floor Sheathing - (4'X8' Ea.)</t>
  </si>
  <si>
    <t>Exterior Wall EW (2'-0" H)</t>
  </si>
  <si>
    <t>Exterior Wall EW (8'-1" H)</t>
  </si>
  <si>
    <t>Exterior Wall EW (10'-6" H)</t>
  </si>
  <si>
    <t>Exterior Wall EW (10'-2" H)</t>
  </si>
  <si>
    <t>Exterior Wall EW (3'-6" H)</t>
  </si>
  <si>
    <t>Exterior Wall EW (8'-3" H)</t>
  </si>
  <si>
    <t>Exterior Wall EW (8'-6" H)</t>
  </si>
  <si>
    <t>Exterior Wall EW (8'-8" H)</t>
  </si>
  <si>
    <t>Exterior Wall EW (9'-10" H)</t>
  </si>
  <si>
    <t>Exterior Wall EW (9'-4" H)</t>
  </si>
  <si>
    <t>Exterior Wall EW (9'-8" H)</t>
  </si>
  <si>
    <t>Interior Wall W5 (8'-3" H)</t>
  </si>
  <si>
    <t>(1) 1/2" Gypsum Board on both Side (4'X8' Ea.)</t>
  </si>
  <si>
    <t>(1) 1/2" Green Gypsum Board on both Side (4'X8' Ea.)</t>
  </si>
  <si>
    <t>Interior Wall W5 (8'-6" H)</t>
  </si>
  <si>
    <t>Interior Wall W5 (8'-9" H)</t>
  </si>
  <si>
    <t>Interior Wall W5 (9'-10" H)</t>
  </si>
  <si>
    <t>Interior Wall W6 (10'-2" H)</t>
  </si>
  <si>
    <t>Interior Wall W6 (9'-0" H)</t>
  </si>
  <si>
    <t>Interior Wall W6 (9'-2" H)</t>
  </si>
  <si>
    <t>Interior Wall W6 (9'-10" H)</t>
  </si>
  <si>
    <t>Interior Wall W7 (9'-0" H)</t>
  </si>
  <si>
    <t>Interior Wall W7 (9'-10" H)</t>
  </si>
  <si>
    <t>Interior Wall W7 (10'-2" H)</t>
  </si>
  <si>
    <t>Interior Wall W8 (9'-10" H)</t>
  </si>
  <si>
    <t>Interior Wall W8 (10'-2" H)</t>
  </si>
  <si>
    <t>Interior Wall W8 (2'-0" H)</t>
  </si>
  <si>
    <t>5/8" Plywood Wall Sheathing - (4'X8' Ea.)</t>
  </si>
  <si>
    <t>A320</t>
  </si>
  <si>
    <t>A321</t>
  </si>
  <si>
    <t>A322</t>
  </si>
  <si>
    <t>A321 - A323</t>
  </si>
  <si>
    <t>A323</t>
  </si>
  <si>
    <t>ID371</t>
  </si>
  <si>
    <t>(42" H) 13mm Tempered Laminated Exterior Glass Railing in Bezdan Easy Glass Slim, Alloy 6063-T5</t>
  </si>
  <si>
    <t>ID421, ID422</t>
  </si>
  <si>
    <t>ID921</t>
  </si>
  <si>
    <t>ID923</t>
  </si>
  <si>
    <t>(11" Deep X 4'-3" Wide) Stair Tread</t>
  </si>
  <si>
    <t>(7" H X 4'-3" Wide) Stair Riser</t>
  </si>
  <si>
    <t>A324</t>
  </si>
  <si>
    <t>A134</t>
  </si>
  <si>
    <t>A133</t>
  </si>
  <si>
    <t>ID371 - ID373</t>
  </si>
  <si>
    <t>ID341</t>
  </si>
  <si>
    <t>ID341 - ID343</t>
  </si>
  <si>
    <t>ID921 - ID922</t>
  </si>
  <si>
    <t>ID421 - ID422</t>
  </si>
  <si>
    <r>
      <t>Panel</t>
    </r>
    <r>
      <rPr>
        <b/>
        <sz val="12"/>
        <color rgb="FFFF0000"/>
        <rFont val="Calibri"/>
        <family val="2"/>
        <scheme val="minor"/>
      </rPr>
      <t xml:space="preserve"> (Assumed)</t>
    </r>
  </si>
  <si>
    <t>A203</t>
  </si>
  <si>
    <t>A203, A321</t>
  </si>
  <si>
    <r>
      <t>3" Mulch</t>
    </r>
    <r>
      <rPr>
        <sz val="12"/>
        <color rgb="FFFF0000"/>
        <rFont val="Calibri"/>
        <family val="2"/>
        <scheme val="minor"/>
      </rPr>
      <t xml:space="preserve"> (Assumed) </t>
    </r>
  </si>
  <si>
    <r>
      <t>Concrete Slab</t>
    </r>
    <r>
      <rPr>
        <b/>
        <sz val="12"/>
        <color rgb="FFFF0000"/>
        <rFont val="Calibri"/>
        <family val="2"/>
        <scheme val="minor"/>
      </rPr>
      <t xml:space="preserve"> (Assumed) </t>
    </r>
  </si>
  <si>
    <r>
      <t>Concrete Foundation Wall</t>
    </r>
    <r>
      <rPr>
        <b/>
        <sz val="12"/>
        <color rgb="FFFF0000"/>
        <rFont val="Calibri"/>
        <family val="2"/>
        <scheme val="minor"/>
      </rPr>
      <t xml:space="preserve"> (Assumed) </t>
    </r>
  </si>
  <si>
    <r>
      <t>Concrete Strip Footing</t>
    </r>
    <r>
      <rPr>
        <b/>
        <sz val="12"/>
        <color rgb="FFFF0000"/>
        <rFont val="Calibri"/>
        <family val="2"/>
        <scheme val="minor"/>
      </rPr>
      <t xml:space="preserve"> (Assumed) </t>
    </r>
  </si>
  <si>
    <t>SBS Roofing Membrane</t>
  </si>
  <si>
    <t>1/4" Self Adhered Water Proofing Membrane</t>
  </si>
  <si>
    <r>
      <rPr>
        <b/>
        <sz val="12"/>
        <color theme="1"/>
        <rFont val="Calibri"/>
        <family val="2"/>
        <scheme val="minor"/>
      </rPr>
      <t xml:space="preserve">B1- 6" MDF Primed Baseboard
</t>
    </r>
    <r>
      <rPr>
        <sz val="12"/>
        <color theme="1"/>
        <rFont val="Calibri"/>
        <family val="2"/>
        <scheme val="minor"/>
      </rPr>
      <t>Manufacturer: Alexandria Molding
Series: Modern/ Square
Color: White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</si>
</sst>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[$$-409]* #,##0.00_);_([$$-409]* \(#,##0.00\);_([$$-409]* &quot;-&quot;??_);_(@_)"/>
    <numFmt numFmtId="165" formatCode="0.0%"/>
    <numFmt numFmtId="166" formatCode="0.000"/>
    <numFmt numFmtId="167" formatCode="0.0"/>
    <numFmt numFmtId="168" formatCode="_([$$-409]* #,##0.0_);_([$$-409]* \(#,##0.0\);_([$$-409]* &quot;-&quot;??_);_(@_)"/>
    <numFmt numFmtId="169" formatCode="_([$$-409]* #,##0_);_([$$-409]* \(#,##0\);_([$$-409]* &quot;-&quot;??_);_(@_)"/>
    <numFmt numFmtId="170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26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5" fillId="8" borderId="28" applyNumberFormat="0" applyFont="0" applyAlignment="0" applyProtection="0"/>
    <xf numFmtId="0" fontId="9" fillId="12" borderId="49" applyNumberFormat="0" applyFont="0" applyAlignment="0" applyProtection="0"/>
  </cellStyleXfs>
  <cellXfs count="194">
    <xf numFmtId="0" fontId="0" fillId="0" borderId="0" xfId="0"/>
    <xf numFmtId="0" fontId="4" fillId="0" borderId="0" xfId="0" applyFont="1" applyAlignment="1">
      <alignment vertical="top"/>
    </xf>
    <xf numFmtId="9" fontId="4" fillId="0" borderId="4" xfId="0" applyNumberFormat="1" applyFon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9" fontId="4" fillId="0" borderId="8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6" borderId="0" xfId="0" applyFont="1" applyFill="1" applyAlignment="1">
      <alignment vertical="top"/>
    </xf>
    <xf numFmtId="0" fontId="1" fillId="6" borderId="10" xfId="0" applyFont="1" applyFill="1" applyBorder="1" applyAlignment="1">
      <alignment vertical="top"/>
    </xf>
    <xf numFmtId="0" fontId="4" fillId="6" borderId="0" xfId="0" applyFont="1" applyFill="1" applyAlignment="1">
      <alignment vertical="center"/>
    </xf>
    <xf numFmtId="0" fontId="4" fillId="6" borderId="24" xfId="0" applyFont="1" applyFill="1" applyBorder="1" applyAlignment="1">
      <alignment vertical="center"/>
    </xf>
    <xf numFmtId="165" fontId="4" fillId="0" borderId="12" xfId="0" applyNumberFormat="1" applyFont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164" fontId="1" fillId="6" borderId="11" xfId="0" applyNumberFormat="1" applyFont="1" applyFill="1" applyBorder="1" applyAlignment="1">
      <alignment vertical="top"/>
    </xf>
    <xf numFmtId="164" fontId="1" fillId="6" borderId="13" xfId="0" applyNumberFormat="1" applyFont="1" applyFill="1" applyBorder="1" applyAlignment="1">
      <alignment vertical="top"/>
    </xf>
    <xf numFmtId="164" fontId="4" fillId="6" borderId="13" xfId="0" applyNumberFormat="1" applyFont="1" applyFill="1" applyBorder="1" applyAlignment="1">
      <alignment vertical="center"/>
    </xf>
    <xf numFmtId="164" fontId="4" fillId="6" borderId="23" xfId="0" applyNumberFormat="1" applyFont="1" applyFill="1" applyBorder="1" applyAlignment="1">
      <alignment vertical="center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4" borderId="17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vertical="center"/>
    </xf>
    <xf numFmtId="1" fontId="1" fillId="4" borderId="2" xfId="0" applyNumberFormat="1" applyFont="1" applyFill="1" applyBorder="1" applyAlignment="1">
      <alignment horizontal="center" vertical="center" wrapText="1"/>
    </xf>
    <xf numFmtId="1" fontId="1" fillId="4" borderId="14" xfId="0" applyNumberFormat="1" applyFont="1" applyFill="1" applyBorder="1" applyAlignment="1">
      <alignment horizontal="center" vertical="center" wrapText="1"/>
    </xf>
    <xf numFmtId="1" fontId="4" fillId="6" borderId="10" xfId="0" applyNumberFormat="1" applyFont="1" applyFill="1" applyBorder="1" applyAlignment="1">
      <alignment horizontal="right" vertical="top"/>
    </xf>
    <xf numFmtId="1" fontId="4" fillId="6" borderId="0" xfId="0" applyNumberFormat="1" applyFont="1" applyFill="1" applyAlignment="1">
      <alignment horizontal="right" vertical="top"/>
    </xf>
    <xf numFmtId="1" fontId="4" fillId="6" borderId="0" xfId="0" applyNumberFormat="1" applyFont="1" applyFill="1" applyAlignment="1">
      <alignment horizontal="right" vertical="center"/>
    </xf>
    <xf numFmtId="1" fontId="4" fillId="6" borderId="24" xfId="0" applyNumberFormat="1" applyFont="1" applyFill="1" applyBorder="1" applyAlignment="1">
      <alignment horizontal="right" vertical="center"/>
    </xf>
    <xf numFmtId="9" fontId="1" fillId="4" borderId="2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Alignment="1">
      <alignment vertical="center"/>
    </xf>
    <xf numFmtId="9" fontId="4" fillId="6" borderId="9" xfId="0" applyNumberFormat="1" applyFont="1" applyFill="1" applyBorder="1" applyAlignment="1">
      <alignment vertical="center"/>
    </xf>
    <xf numFmtId="9" fontId="4" fillId="6" borderId="12" xfId="0" applyNumberFormat="1" applyFont="1" applyFill="1" applyBorder="1" applyAlignment="1">
      <alignment vertical="center"/>
    </xf>
    <xf numFmtId="9" fontId="4" fillId="6" borderId="22" xfId="0" applyNumberFormat="1" applyFont="1" applyFill="1" applyBorder="1" applyAlignment="1">
      <alignment vertical="center"/>
    </xf>
    <xf numFmtId="9" fontId="1" fillId="4" borderId="14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4" fontId="4" fillId="0" borderId="13" xfId="0" applyNumberFormat="1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9" fontId="4" fillId="0" borderId="24" xfId="0" applyNumberFormat="1" applyFont="1" applyBorder="1" applyAlignment="1">
      <alignment vertical="center"/>
    </xf>
    <xf numFmtId="164" fontId="4" fillId="0" borderId="24" xfId="0" applyNumberFormat="1" applyFont="1" applyBorder="1" applyAlignment="1">
      <alignment vertical="center"/>
    </xf>
    <xf numFmtId="1" fontId="4" fillId="0" borderId="25" xfId="0" applyNumberFormat="1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right" vertical="center"/>
    </xf>
    <xf numFmtId="164" fontId="4" fillId="0" borderId="26" xfId="0" applyNumberFormat="1" applyFont="1" applyBorder="1" applyAlignment="1">
      <alignment vertical="center"/>
    </xf>
    <xf numFmtId="165" fontId="4" fillId="0" borderId="25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vertical="top"/>
    </xf>
    <xf numFmtId="0" fontId="1" fillId="4" borderId="0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1" fontId="6" fillId="9" borderId="29" xfId="1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left" vertical="top"/>
    </xf>
    <xf numFmtId="166" fontId="4" fillId="0" borderId="0" xfId="0" applyNumberFormat="1" applyFont="1" applyAlignment="1">
      <alignment horizontal="center" vertical="center"/>
    </xf>
    <xf numFmtId="14" fontId="4" fillId="6" borderId="10" xfId="0" applyNumberFormat="1" applyFont="1" applyFill="1" applyBorder="1" applyAlignment="1">
      <alignment horizontal="center" vertical="top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4" fillId="0" borderId="33" xfId="0" applyFont="1" applyBorder="1" applyAlignment="1">
      <alignment vertical="top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165" fontId="4" fillId="0" borderId="39" xfId="0" applyNumberFormat="1" applyFont="1" applyBorder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0" fontId="4" fillId="6" borderId="40" xfId="0" applyFont="1" applyFill="1" applyBorder="1" applyAlignment="1">
      <alignment vertical="top"/>
    </xf>
    <xf numFmtId="14" fontId="1" fillId="6" borderId="41" xfId="0" applyNumberFormat="1" applyFont="1" applyFill="1" applyBorder="1" applyAlignment="1">
      <alignment vertical="top"/>
    </xf>
    <xf numFmtId="0" fontId="4" fillId="6" borderId="42" xfId="0" applyFont="1" applyFill="1" applyBorder="1" applyAlignment="1">
      <alignment vertical="top"/>
    </xf>
    <xf numFmtId="0" fontId="4" fillId="6" borderId="33" xfId="0" applyFont="1" applyFill="1" applyBorder="1" applyAlignment="1">
      <alignment vertical="top"/>
    </xf>
    <xf numFmtId="14" fontId="1" fillId="6" borderId="34" xfId="0" applyNumberFormat="1" applyFont="1" applyFill="1" applyBorder="1" applyAlignment="1">
      <alignment vertical="top"/>
    </xf>
    <xf numFmtId="0" fontId="2" fillId="11" borderId="0" xfId="0" applyFont="1" applyFill="1" applyBorder="1" applyAlignment="1">
      <alignment horizontal="center" vertical="center"/>
    </xf>
    <xf numFmtId="1" fontId="1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7" borderId="16" xfId="0" applyFont="1" applyFill="1" applyBorder="1" applyAlignment="1">
      <alignment vertical="center"/>
    </xf>
    <xf numFmtId="164" fontId="1" fillId="7" borderId="16" xfId="0" applyNumberFormat="1" applyFont="1" applyFill="1" applyBorder="1" applyAlignment="1">
      <alignment vertical="center"/>
    </xf>
    <xf numFmtId="0" fontId="1" fillId="7" borderId="18" xfId="0" applyFont="1" applyFill="1" applyBorder="1" applyAlignment="1">
      <alignment horizontal="center" vertical="center"/>
    </xf>
    <xf numFmtId="164" fontId="1" fillId="7" borderId="18" xfId="0" applyNumberFormat="1" applyFont="1" applyFill="1" applyBorder="1" applyAlignment="1">
      <alignment vertical="center"/>
    </xf>
    <xf numFmtId="1" fontId="1" fillId="7" borderId="16" xfId="0" applyNumberFormat="1" applyFont="1" applyFill="1" applyBorder="1" applyAlignment="1">
      <alignment vertical="center"/>
    </xf>
    <xf numFmtId="9" fontId="1" fillId="7" borderId="16" xfId="0" applyNumberFormat="1" applyFont="1" applyFill="1" applyBorder="1" applyAlignment="1">
      <alignment vertical="center"/>
    </xf>
    <xf numFmtId="0" fontId="1" fillId="7" borderId="19" xfId="0" applyFont="1" applyFill="1" applyBorder="1" applyAlignment="1">
      <alignment horizontal="center" vertical="center"/>
    </xf>
    <xf numFmtId="169" fontId="1" fillId="7" borderId="18" xfId="0" applyNumberFormat="1" applyFont="1" applyFill="1" applyBorder="1" applyAlignment="1">
      <alignment vertical="center"/>
    </xf>
    <xf numFmtId="14" fontId="1" fillId="6" borderId="43" xfId="0" applyNumberFormat="1" applyFont="1" applyFill="1" applyBorder="1" applyAlignment="1">
      <alignment vertical="top" wrapText="1"/>
    </xf>
    <xf numFmtId="165" fontId="4" fillId="0" borderId="48" xfId="0" applyNumberFormat="1" applyFont="1" applyBorder="1" applyAlignment="1">
      <alignment horizontal="center" vertical="center"/>
    </xf>
    <xf numFmtId="170" fontId="4" fillId="0" borderId="27" xfId="0" applyNumberFormat="1" applyFont="1" applyBorder="1" applyAlignment="1">
      <alignment vertical="center"/>
    </xf>
    <xf numFmtId="170" fontId="4" fillId="0" borderId="26" xfId="0" applyNumberFormat="1" applyFont="1" applyBorder="1" applyAlignment="1">
      <alignment vertical="center"/>
    </xf>
    <xf numFmtId="170" fontId="4" fillId="0" borderId="0" xfId="0" applyNumberFormat="1" applyFont="1" applyAlignment="1">
      <alignment vertical="center"/>
    </xf>
    <xf numFmtId="170" fontId="4" fillId="0" borderId="13" xfId="0" applyNumberFormat="1" applyFont="1" applyBorder="1" applyAlignment="1">
      <alignment vertical="center"/>
    </xf>
    <xf numFmtId="170" fontId="4" fillId="0" borderId="24" xfId="0" applyNumberFormat="1" applyFont="1" applyBorder="1" applyAlignment="1">
      <alignment vertical="center"/>
    </xf>
    <xf numFmtId="170" fontId="4" fillId="0" borderId="23" xfId="0" applyNumberFormat="1" applyFont="1" applyBorder="1" applyAlignment="1">
      <alignment vertical="center"/>
    </xf>
    <xf numFmtId="1" fontId="4" fillId="0" borderId="27" xfId="0" applyNumberFormat="1" applyFont="1" applyBorder="1" applyAlignment="1">
      <alignment vertical="center"/>
    </xf>
    <xf numFmtId="170" fontId="4" fillId="0" borderId="44" xfId="0" applyNumberFormat="1" applyFont="1" applyBorder="1" applyAlignment="1">
      <alignment vertical="center"/>
    </xf>
    <xf numFmtId="170" fontId="4" fillId="0" borderId="46" xfId="0" applyNumberFormat="1" applyFont="1" applyBorder="1" applyAlignment="1">
      <alignment vertical="center"/>
    </xf>
    <xf numFmtId="170" fontId="4" fillId="0" borderId="45" xfId="0" applyNumberFormat="1" applyFont="1" applyBorder="1" applyAlignment="1">
      <alignment vertical="center"/>
    </xf>
    <xf numFmtId="170" fontId="4" fillId="0" borderId="3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9" fontId="4" fillId="0" borderId="0" xfId="0" applyNumberFormat="1" applyFont="1" applyAlignment="1">
      <alignment vertical="center"/>
    </xf>
    <xf numFmtId="164" fontId="4" fillId="0" borderId="13" xfId="0" applyNumberFormat="1" applyFont="1" applyBorder="1" applyAlignment="1">
      <alignment vertical="center"/>
    </xf>
    <xf numFmtId="1" fontId="6" fillId="9" borderId="29" xfId="1" applyNumberFormat="1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1" fontId="4" fillId="6" borderId="0" xfId="0" applyNumberFormat="1" applyFont="1" applyFill="1" applyAlignment="1">
      <alignment horizontal="center" vertical="center"/>
    </xf>
    <xf numFmtId="1" fontId="4" fillId="6" borderId="2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3" borderId="9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4" fontId="2" fillId="10" borderId="25" xfId="0" applyNumberFormat="1" applyFont="1" applyFill="1" applyBorder="1" applyAlignment="1">
      <alignment horizontal="center" vertical="center"/>
    </xf>
    <xf numFmtId="0" fontId="2" fillId="10" borderId="27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left" vertical="top"/>
    </xf>
    <xf numFmtId="0" fontId="2" fillId="10" borderId="25" xfId="0" applyFont="1" applyFill="1" applyBorder="1" applyAlignment="1">
      <alignment horizontal="center" vertical="center"/>
    </xf>
    <xf numFmtId="0" fontId="2" fillId="10" borderId="26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left" vertical="top"/>
    </xf>
    <xf numFmtId="169" fontId="4" fillId="0" borderId="34" xfId="0" applyNumberFormat="1" applyFont="1" applyBorder="1" applyAlignment="1">
      <alignment horizontal="left" vertical="top"/>
    </xf>
  </cellXfs>
  <cellStyles count="3">
    <cellStyle name="Normal" xfId="0" builtinId="0"/>
    <cellStyle name="Note" xfId="1" builtinId="10"/>
    <cellStyle name="Note 10 2 10 6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qar\Desktop\MEP%20METROPOLIT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SUMMARY"/>
      <sheetName val="BASE BID"/>
      <sheetName val="ADD ALTERNAT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zoomScale="85" zoomScaleNormal="85" workbookViewId="0">
      <selection activeCell="D11" sqref="D11"/>
    </sheetView>
  </sheetViews>
  <sheetFormatPr defaultColWidth="9.140625" defaultRowHeight="15.75" x14ac:dyDescent="0.25"/>
  <cols>
    <col min="1" max="2" width="9.140625" style="1"/>
    <col min="3" max="3" width="23.28515625" style="1" customWidth="1"/>
    <col min="4" max="4" width="44.7109375" style="1" customWidth="1"/>
    <col min="5" max="5" width="12.140625" style="1" bestFit="1" customWidth="1"/>
    <col min="6" max="6" width="12.42578125" style="1" bestFit="1" customWidth="1"/>
    <col min="7" max="7" width="10.7109375" style="1" bestFit="1" customWidth="1"/>
    <col min="8" max="8" width="9.140625" style="1"/>
    <col min="9" max="9" width="11.85546875" style="1" customWidth="1"/>
    <col min="10" max="10" width="12.140625" style="1" customWidth="1"/>
    <col min="11" max="16384" width="9.140625" style="1"/>
  </cols>
  <sheetData>
    <row r="1" spans="1:11" ht="21.75" thickBot="1" x14ac:dyDescent="0.3">
      <c r="A1" s="181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3"/>
    </row>
    <row r="4" spans="1:11" ht="16.5" thickBot="1" x14ac:dyDescent="0.3"/>
    <row r="5" spans="1:11" ht="16.5" thickBot="1" x14ac:dyDescent="0.3">
      <c r="C5" s="73" t="s">
        <v>1</v>
      </c>
      <c r="D5" s="74">
        <f>'BASE BID'!H5</f>
        <v>44831</v>
      </c>
    </row>
    <row r="6" spans="1:11" ht="16.5" thickBot="1" x14ac:dyDescent="0.3">
      <c r="C6" s="76" t="s">
        <v>2</v>
      </c>
      <c r="D6" s="77" t="str">
        <f>'BASE BID'!H6</f>
        <v>Jacobsen Residence</v>
      </c>
    </row>
    <row r="7" spans="1:11" ht="32.25" thickBot="1" x14ac:dyDescent="0.3">
      <c r="C7" s="75" t="s">
        <v>3</v>
      </c>
      <c r="D7" s="91" t="str">
        <f>'BASE BID'!H7</f>
        <v>201 Grandview Street, Penticton, BC</v>
      </c>
    </row>
    <row r="8" spans="1:11" ht="16.5" thickBot="1" x14ac:dyDescent="0.3"/>
    <row r="9" spans="1:11" ht="19.5" thickBot="1" x14ac:dyDescent="0.3">
      <c r="C9" s="184" t="str">
        <f>D6</f>
        <v>Jacobsen Residence</v>
      </c>
      <c r="D9" s="185"/>
    </row>
    <row r="10" spans="1:11" ht="25.5" customHeight="1" thickBot="1" x14ac:dyDescent="0.3">
      <c r="C10" s="64" t="s">
        <v>0</v>
      </c>
      <c r="D10" s="65" t="s">
        <v>4</v>
      </c>
    </row>
    <row r="11" spans="1:11" ht="16.5" thickBot="1" x14ac:dyDescent="0.3">
      <c r="C11" s="66" t="s">
        <v>5</v>
      </c>
      <c r="D11" s="193">
        <f>'BASE BID'!D9</f>
        <v>1367206.712780958</v>
      </c>
    </row>
    <row r="23" spans="3:4" ht="16.5" thickBot="1" x14ac:dyDescent="0.3">
      <c r="C23" s="1" t="s">
        <v>6</v>
      </c>
    </row>
    <row r="24" spans="3:4" ht="16.5" thickBot="1" x14ac:dyDescent="0.3">
      <c r="C24" s="179" t="s">
        <v>7</v>
      </c>
      <c r="D24" s="180"/>
    </row>
    <row r="25" spans="3:4" ht="16.5" thickBot="1" x14ac:dyDescent="0.3">
      <c r="C25" s="8" t="s">
        <v>8</v>
      </c>
      <c r="D25" s="7" t="s">
        <v>9</v>
      </c>
    </row>
    <row r="26" spans="3:4" x14ac:dyDescent="0.25">
      <c r="C26" s="9" t="s">
        <v>10</v>
      </c>
      <c r="D26" s="2">
        <v>0</v>
      </c>
    </row>
    <row r="27" spans="3:4" x14ac:dyDescent="0.25">
      <c r="C27" s="5" t="s">
        <v>11</v>
      </c>
      <c r="D27" s="3">
        <v>0.05</v>
      </c>
    </row>
    <row r="28" spans="3:4" x14ac:dyDescent="0.25">
      <c r="C28" s="5" t="s">
        <v>12</v>
      </c>
      <c r="D28" s="3">
        <v>0.05</v>
      </c>
    </row>
    <row r="29" spans="3:4" x14ac:dyDescent="0.25">
      <c r="C29" s="5" t="s">
        <v>13</v>
      </c>
      <c r="D29" s="3">
        <v>0</v>
      </c>
    </row>
    <row r="30" spans="3:4" x14ac:dyDescent="0.25">
      <c r="C30" s="5" t="s">
        <v>14</v>
      </c>
      <c r="D30" s="3">
        <v>0.05</v>
      </c>
    </row>
    <row r="31" spans="3:4" x14ac:dyDescent="0.25">
      <c r="C31" s="5" t="s">
        <v>15</v>
      </c>
      <c r="D31" s="3">
        <v>0.05</v>
      </c>
    </row>
    <row r="32" spans="3:4" ht="16.5" thickBot="1" x14ac:dyDescent="0.3">
      <c r="C32" s="6" t="s">
        <v>16</v>
      </c>
      <c r="D32" s="4">
        <v>0.05</v>
      </c>
    </row>
  </sheetData>
  <mergeCells count="3">
    <mergeCell ref="C24:D24"/>
    <mergeCell ref="A1:K1"/>
    <mergeCell ref="C9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95"/>
  <sheetViews>
    <sheetView tabSelected="1" zoomScale="55" zoomScaleNormal="55" zoomScaleSheetLayoutView="40" workbookViewId="0">
      <pane ySplit="1" topLeftCell="A2" activePane="bottomLeft" state="frozen"/>
      <selection pane="bottomLeft" activeCell="B16" sqref="B16"/>
    </sheetView>
  </sheetViews>
  <sheetFormatPr defaultColWidth="9.140625" defaultRowHeight="15.75" x14ac:dyDescent="0.25"/>
  <cols>
    <col min="1" max="1" width="9.140625" style="16"/>
    <col min="2" max="2" width="17.85546875" style="16" customWidth="1"/>
    <col min="3" max="3" width="12.28515625" style="16" bestFit="1" customWidth="1"/>
    <col min="4" max="4" width="100.7109375" style="10" bestFit="1" customWidth="1"/>
    <col min="5" max="5" width="12.85546875" style="31" customWidth="1"/>
    <col min="6" max="6" width="14.42578125" style="39" customWidth="1"/>
    <col min="7" max="7" width="20.42578125" style="31" customWidth="1"/>
    <col min="8" max="8" width="16.42578125" style="16" customWidth="1"/>
    <col min="9" max="9" width="13.28515625" style="10" customWidth="1"/>
    <col min="10" max="10" width="16.85546875" style="10" customWidth="1"/>
    <col min="11" max="11" width="16.5703125" style="23" customWidth="1"/>
    <col min="12" max="12" width="20.7109375" style="23" customWidth="1"/>
    <col min="13" max="13" width="14.28515625" style="23" customWidth="1"/>
    <col min="14" max="14" width="17.42578125" style="23" customWidth="1"/>
    <col min="15" max="15" width="17.140625" style="23" customWidth="1"/>
    <col min="16" max="16" width="19.42578125" style="23" bestFit="1" customWidth="1"/>
    <col min="17" max="16384" width="9.140625" style="10"/>
  </cols>
  <sheetData>
    <row r="1" spans="1:16" s="11" customFormat="1" ht="49.5" customHeight="1" thickBot="1" x14ac:dyDescent="0.3">
      <c r="A1" s="12" t="s">
        <v>22</v>
      </c>
      <c r="B1" s="13" t="s">
        <v>23</v>
      </c>
      <c r="C1" s="13" t="s">
        <v>17</v>
      </c>
      <c r="D1" s="13" t="s">
        <v>18</v>
      </c>
      <c r="E1" s="32" t="s">
        <v>24</v>
      </c>
      <c r="F1" s="38" t="s">
        <v>25</v>
      </c>
      <c r="G1" s="32" t="s">
        <v>26</v>
      </c>
      <c r="H1" s="13" t="s">
        <v>8</v>
      </c>
      <c r="I1" s="13" t="s">
        <v>27</v>
      </c>
      <c r="J1" s="13" t="s">
        <v>28</v>
      </c>
      <c r="K1" s="28" t="s">
        <v>29</v>
      </c>
      <c r="L1" s="28" t="s">
        <v>30</v>
      </c>
      <c r="M1" s="28" t="s">
        <v>31</v>
      </c>
      <c r="N1" s="28" t="s">
        <v>32</v>
      </c>
      <c r="O1" s="28" t="s">
        <v>4</v>
      </c>
      <c r="P1" s="29" t="s">
        <v>33</v>
      </c>
    </row>
    <row r="2" spans="1:16" ht="16.5" thickBot="1" x14ac:dyDescent="0.3">
      <c r="A2" s="186" t="s">
        <v>34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8"/>
    </row>
    <row r="4" spans="1:16" ht="16.5" thickBot="1" x14ac:dyDescent="0.3"/>
    <row r="5" spans="1:16" ht="19.5" thickBot="1" x14ac:dyDescent="0.3">
      <c r="A5" s="190" t="str">
        <f>H6</f>
        <v>Jacobsen Residence</v>
      </c>
      <c r="B5" s="191"/>
      <c r="C5" s="191"/>
      <c r="D5" s="185"/>
      <c r="F5" s="40"/>
      <c r="G5" s="34" t="s">
        <v>1</v>
      </c>
      <c r="H5" s="63">
        <v>44831</v>
      </c>
      <c r="I5" s="18"/>
      <c r="J5" s="18"/>
      <c r="K5" s="24"/>
    </row>
    <row r="6" spans="1:16" x14ac:dyDescent="0.25">
      <c r="A6" s="67"/>
      <c r="B6" s="68" t="s">
        <v>19</v>
      </c>
      <c r="C6" s="69"/>
      <c r="D6" s="100">
        <f>P692</f>
        <v>1091939.0708095857</v>
      </c>
      <c r="F6" s="41"/>
      <c r="G6" s="35" t="s">
        <v>2</v>
      </c>
      <c r="H6" s="61" t="s">
        <v>96</v>
      </c>
      <c r="I6" s="17"/>
      <c r="J6" s="17"/>
      <c r="K6" s="25"/>
    </row>
    <row r="7" spans="1:16" x14ac:dyDescent="0.25">
      <c r="A7" s="70">
        <f>G693</f>
        <v>9.5000000000000001E-2</v>
      </c>
      <c r="B7" s="189" t="str">
        <f>H693</f>
        <v>Material Tax=</v>
      </c>
      <c r="C7" s="189"/>
      <c r="D7" s="101">
        <f>P693</f>
        <v>56879.827809455135</v>
      </c>
      <c r="F7" s="41"/>
      <c r="G7" s="35" t="s">
        <v>3</v>
      </c>
      <c r="H7" s="61" t="s">
        <v>97</v>
      </c>
      <c r="I7" s="17"/>
      <c r="J7" s="17"/>
      <c r="K7" s="25"/>
    </row>
    <row r="8" spans="1:16" x14ac:dyDescent="0.25">
      <c r="A8" s="70">
        <f>G694</f>
        <v>0.2</v>
      </c>
      <c r="B8" s="189" t="str">
        <f>H694</f>
        <v>Overhead and Profit=</v>
      </c>
      <c r="C8" s="189"/>
      <c r="D8" s="102">
        <f>P694</f>
        <v>218387.81416191714</v>
      </c>
      <c r="F8" s="41"/>
      <c r="G8" s="36"/>
      <c r="H8" s="44"/>
      <c r="I8" s="19"/>
      <c r="J8" s="19"/>
      <c r="K8" s="26"/>
    </row>
    <row r="9" spans="1:16" ht="16.5" thickBot="1" x14ac:dyDescent="0.3">
      <c r="A9" s="92"/>
      <c r="B9" s="192" t="str">
        <f>H695</f>
        <v>Total Bid=</v>
      </c>
      <c r="C9" s="192"/>
      <c r="D9" s="103">
        <f>P695</f>
        <v>1367206.712780958</v>
      </c>
      <c r="F9" s="41"/>
      <c r="G9" s="36" t="s">
        <v>36</v>
      </c>
      <c r="H9" s="114">
        <v>2024.07</v>
      </c>
      <c r="I9" s="19"/>
      <c r="J9" s="19"/>
      <c r="K9" s="26"/>
    </row>
    <row r="10" spans="1:16" x14ac:dyDescent="0.25">
      <c r="F10" s="41"/>
      <c r="G10" s="36" t="s">
        <v>37</v>
      </c>
      <c r="H10" s="114">
        <v>4800</v>
      </c>
      <c r="I10" s="19"/>
      <c r="J10" s="19"/>
      <c r="K10" s="26"/>
    </row>
    <row r="11" spans="1:16" ht="16.5" thickBot="1" x14ac:dyDescent="0.3">
      <c r="F11" s="42"/>
      <c r="G11" s="37" t="s">
        <v>38</v>
      </c>
      <c r="H11" s="115">
        <v>3</v>
      </c>
      <c r="I11" s="20"/>
      <c r="J11" s="20"/>
      <c r="K11" s="27"/>
    </row>
    <row r="12" spans="1:16" ht="16.5" thickBot="1" x14ac:dyDescent="0.3"/>
    <row r="13" spans="1:16" s="11" customFormat="1" ht="49.5" customHeight="1" thickBot="1" x14ac:dyDescent="0.3">
      <c r="A13" s="14" t="s">
        <v>22</v>
      </c>
      <c r="B13" s="15" t="s">
        <v>23</v>
      </c>
      <c r="C13" s="15" t="s">
        <v>17</v>
      </c>
      <c r="D13" s="15" t="s">
        <v>18</v>
      </c>
      <c r="E13" s="33" t="s">
        <v>24</v>
      </c>
      <c r="F13" s="43" t="s">
        <v>25</v>
      </c>
      <c r="G13" s="33" t="s">
        <v>26</v>
      </c>
      <c r="H13" s="15" t="s">
        <v>8</v>
      </c>
      <c r="I13" s="15" t="s">
        <v>27</v>
      </c>
      <c r="J13" s="15" t="s">
        <v>28</v>
      </c>
      <c r="K13" s="22" t="s">
        <v>29</v>
      </c>
      <c r="L13" s="22" t="s">
        <v>39</v>
      </c>
      <c r="M13" s="22" t="s">
        <v>31</v>
      </c>
      <c r="N13" s="22" t="s">
        <v>32</v>
      </c>
      <c r="O13" s="22" t="s">
        <v>40</v>
      </c>
      <c r="P13" s="30" t="s">
        <v>33</v>
      </c>
    </row>
    <row r="14" spans="1:16" s="81" customFormat="1" ht="16.5" thickBot="1" x14ac:dyDescent="0.3">
      <c r="A14" s="89" t="str">
        <f>IF(G14&lt;&gt;"",1+MAX($A$13:A13),"")</f>
        <v/>
      </c>
      <c r="B14" s="85"/>
      <c r="C14" s="85" t="s">
        <v>65</v>
      </c>
      <c r="D14" s="83" t="s">
        <v>66</v>
      </c>
      <c r="E14" s="87"/>
      <c r="F14" s="88"/>
      <c r="G14" s="87"/>
      <c r="H14" s="87"/>
      <c r="I14" s="83"/>
      <c r="J14" s="83"/>
      <c r="K14" s="84"/>
      <c r="L14" s="84"/>
      <c r="M14" s="84"/>
      <c r="N14" s="84"/>
      <c r="O14" s="86"/>
      <c r="P14" s="90">
        <f>SUM(O15:O58)</f>
        <v>49737.449827367316</v>
      </c>
    </row>
    <row r="15" spans="1:16" x14ac:dyDescent="0.25">
      <c r="A15" s="45" t="str">
        <f>IF(G15&lt;&gt;"",1+MAX($A$13:A14),"")</f>
        <v/>
      </c>
      <c r="H15" s="82"/>
      <c r="P15" s="46"/>
    </row>
    <row r="16" spans="1:16" x14ac:dyDescent="0.25">
      <c r="A16" s="45" t="str">
        <f>IF(G16&lt;&gt;"",1+MAX($A$13:A15),"")</f>
        <v/>
      </c>
      <c r="D16" s="58" t="s">
        <v>216</v>
      </c>
      <c r="H16" s="82"/>
      <c r="J16" s="71"/>
      <c r="P16" s="46"/>
    </row>
    <row r="17" spans="1:16" x14ac:dyDescent="0.25">
      <c r="A17" s="60">
        <f>IF(G17&lt;&gt;"",1+MAX($A$13:A16),"")</f>
        <v>1</v>
      </c>
      <c r="B17" s="16" t="s">
        <v>378</v>
      </c>
      <c r="C17" s="16" t="s">
        <v>65</v>
      </c>
      <c r="D17" s="113" t="s">
        <v>220</v>
      </c>
      <c r="E17" s="112">
        <f>12*2*2*1/27</f>
        <v>1.7777777777777777</v>
      </c>
      <c r="F17" s="39">
        <f>VLOOKUP(H17,'PROJECT SUMMARY'!$C$26:$D$32,2,0)</f>
        <v>0.05</v>
      </c>
      <c r="G17" s="31">
        <f>E17*(1+F17)</f>
        <v>1.8666666666666667</v>
      </c>
      <c r="H17" s="82" t="s">
        <v>16</v>
      </c>
      <c r="I17" s="110">
        <v>3.2</v>
      </c>
      <c r="J17" s="111">
        <f>I17*G17</f>
        <v>5.9733333333333336</v>
      </c>
      <c r="K17" s="106">
        <v>52</v>
      </c>
      <c r="L17" s="106">
        <f>K17*J17</f>
        <v>310.61333333333334</v>
      </c>
      <c r="M17" s="106">
        <v>206</v>
      </c>
      <c r="N17" s="106">
        <f>M17*G17</f>
        <v>384.53333333333336</v>
      </c>
      <c r="O17" s="106">
        <f>L17+N17</f>
        <v>695.14666666666676</v>
      </c>
      <c r="P17" s="46"/>
    </row>
    <row r="18" spans="1:16" s="150" customFormat="1" x14ac:dyDescent="0.25">
      <c r="A18" s="109">
        <f>IF(G18&lt;&gt;"",1+MAX($A$13:A17),"")</f>
        <v>2</v>
      </c>
      <c r="B18" s="178" t="s">
        <v>378</v>
      </c>
      <c r="C18" s="151" t="s">
        <v>65</v>
      </c>
      <c r="D18" s="113" t="s">
        <v>217</v>
      </c>
      <c r="E18" s="112">
        <f>12*3*2*2*1.043</f>
        <v>150.19199999999998</v>
      </c>
      <c r="F18" s="107">
        <f>VLOOKUP(H18,'PROJECT SUMMARY'!$C$26:$D$32,2,0)</f>
        <v>0.05</v>
      </c>
      <c r="G18" s="112">
        <f>E18*(1+F18)</f>
        <v>157.70159999999998</v>
      </c>
      <c r="H18" s="151" t="s">
        <v>14</v>
      </c>
      <c r="I18" s="110">
        <v>1.4999999999999999E-2</v>
      </c>
      <c r="J18" s="111">
        <f>I18*G18</f>
        <v>2.3655239999999997</v>
      </c>
      <c r="K18" s="106">
        <v>52</v>
      </c>
      <c r="L18" s="106">
        <f>K18*J18</f>
        <v>123.00724799999999</v>
      </c>
      <c r="M18" s="106">
        <v>0.9</v>
      </c>
      <c r="N18" s="106">
        <f>M18*G18</f>
        <v>141.93143999999998</v>
      </c>
      <c r="O18" s="106">
        <f>L18+N18</f>
        <v>264.93868799999996</v>
      </c>
      <c r="P18" s="108"/>
    </row>
    <row r="19" spans="1:16" s="150" customFormat="1" x14ac:dyDescent="0.25">
      <c r="A19" s="109" t="str">
        <f>IF(G19&lt;&gt;"",1+MAX($A$13:A18),"")</f>
        <v/>
      </c>
      <c r="B19" s="151"/>
      <c r="C19" s="151"/>
      <c r="D19" s="113"/>
      <c r="E19" s="112"/>
      <c r="F19" s="107"/>
      <c r="G19" s="112"/>
      <c r="H19" s="151"/>
      <c r="I19" s="110"/>
      <c r="J19" s="111"/>
      <c r="K19" s="106"/>
      <c r="L19" s="106"/>
      <c r="M19" s="106"/>
      <c r="N19" s="106"/>
      <c r="O19" s="106"/>
      <c r="P19" s="108"/>
    </row>
    <row r="20" spans="1:16" s="104" customFormat="1" x14ac:dyDescent="0.25">
      <c r="A20" s="109">
        <f>IF(G20&lt;&gt;"",1+MAX($A$13:A19),"")</f>
        <v>3</v>
      </c>
      <c r="B20" s="178" t="s">
        <v>378</v>
      </c>
      <c r="C20" s="105" t="s">
        <v>65</v>
      </c>
      <c r="D20" s="113" t="s">
        <v>224</v>
      </c>
      <c r="E20" s="112">
        <f>9*3*3*1/27</f>
        <v>3</v>
      </c>
      <c r="F20" s="107">
        <f>VLOOKUP(H20,'PROJECT SUMMARY'!$C$26:$D$32,2,0)</f>
        <v>0.05</v>
      </c>
      <c r="G20" s="112">
        <f t="shared" ref="G20:G52" si="0">E20*(1+F20)</f>
        <v>3.1500000000000004</v>
      </c>
      <c r="H20" s="105" t="s">
        <v>16</v>
      </c>
      <c r="I20" s="110">
        <v>3.2</v>
      </c>
      <c r="J20" s="111">
        <f>I20*G20</f>
        <v>10.080000000000002</v>
      </c>
      <c r="K20" s="106">
        <v>52</v>
      </c>
      <c r="L20" s="106">
        <f>K20*J20</f>
        <v>524.16000000000008</v>
      </c>
      <c r="M20" s="106">
        <v>206</v>
      </c>
      <c r="N20" s="106">
        <f>M20*G20</f>
        <v>648.90000000000009</v>
      </c>
      <c r="O20" s="106">
        <f>L20+N20</f>
        <v>1173.0600000000002</v>
      </c>
      <c r="P20" s="108"/>
    </row>
    <row r="21" spans="1:16" s="150" customFormat="1" x14ac:dyDescent="0.25">
      <c r="A21" s="109">
        <f>IF(G21&lt;&gt;"",1+MAX($A$13:A20),"")</f>
        <v>4</v>
      </c>
      <c r="B21" s="178" t="s">
        <v>378</v>
      </c>
      <c r="C21" s="151" t="s">
        <v>65</v>
      </c>
      <c r="D21" s="113" t="s">
        <v>217</v>
      </c>
      <c r="E21" s="112">
        <f>9*4*2*3*1.043</f>
        <v>225.28799999999998</v>
      </c>
      <c r="F21" s="107">
        <f>VLOOKUP(H21,'PROJECT SUMMARY'!$C$26:$D$32,2,0)</f>
        <v>0.05</v>
      </c>
      <c r="G21" s="112">
        <f>E21*(1+F21)</f>
        <v>236.55240000000001</v>
      </c>
      <c r="H21" s="151" t="s">
        <v>14</v>
      </c>
      <c r="I21" s="110">
        <v>1.4999999999999999E-2</v>
      </c>
      <c r="J21" s="111">
        <f>I21*G21</f>
        <v>3.5482860000000001</v>
      </c>
      <c r="K21" s="106">
        <v>52</v>
      </c>
      <c r="L21" s="106">
        <f>K21*J21</f>
        <v>184.51087200000001</v>
      </c>
      <c r="M21" s="106">
        <v>0.9</v>
      </c>
      <c r="N21" s="106">
        <f>M21*G21</f>
        <v>212.89716000000001</v>
      </c>
      <c r="O21" s="106">
        <f>L21+N21</f>
        <v>397.40803200000005</v>
      </c>
      <c r="P21" s="108"/>
    </row>
    <row r="22" spans="1:16" s="150" customFormat="1" x14ac:dyDescent="0.25">
      <c r="A22" s="109" t="str">
        <f>IF(G22&lt;&gt;"",1+MAX($A$13:A21),"")</f>
        <v/>
      </c>
      <c r="B22" s="151"/>
      <c r="C22" s="151"/>
      <c r="D22" s="113"/>
      <c r="E22" s="112"/>
      <c r="F22" s="107"/>
      <c r="G22" s="112"/>
      <c r="H22" s="151"/>
      <c r="I22" s="110"/>
      <c r="J22" s="111"/>
      <c r="K22" s="106"/>
      <c r="L22" s="106"/>
      <c r="M22" s="106"/>
      <c r="N22" s="106"/>
      <c r="O22" s="106"/>
      <c r="P22" s="108"/>
    </row>
    <row r="23" spans="1:16" s="104" customFormat="1" x14ac:dyDescent="0.25">
      <c r="A23" s="109">
        <f>IF(G23&lt;&gt;"",1+MAX($A$13:A22),"")</f>
        <v>5</v>
      </c>
      <c r="B23" s="178" t="s">
        <v>378</v>
      </c>
      <c r="C23" s="105" t="s">
        <v>65</v>
      </c>
      <c r="D23" s="113" t="s">
        <v>223</v>
      </c>
      <c r="E23" s="112">
        <f>1*4*4*1/27</f>
        <v>0.59259259259259256</v>
      </c>
      <c r="F23" s="107">
        <f>VLOOKUP(H23,'PROJECT SUMMARY'!$C$26:$D$32,2,0)</f>
        <v>0.05</v>
      </c>
      <c r="G23" s="112">
        <f t="shared" si="0"/>
        <v>0.62222222222222223</v>
      </c>
      <c r="H23" s="105" t="s">
        <v>16</v>
      </c>
      <c r="I23" s="110">
        <v>3.2</v>
      </c>
      <c r="J23" s="111">
        <f>I23*G23</f>
        <v>1.9911111111111113</v>
      </c>
      <c r="K23" s="106">
        <v>52</v>
      </c>
      <c r="L23" s="106">
        <f>K23*J23</f>
        <v>103.53777777777779</v>
      </c>
      <c r="M23" s="106">
        <v>206</v>
      </c>
      <c r="N23" s="106">
        <f>M23*G23</f>
        <v>128.17777777777778</v>
      </c>
      <c r="O23" s="106">
        <f>L23+N23</f>
        <v>231.71555555555557</v>
      </c>
      <c r="P23" s="108"/>
    </row>
    <row r="24" spans="1:16" s="150" customFormat="1" x14ac:dyDescent="0.25">
      <c r="A24" s="109">
        <f>IF(G24&lt;&gt;"",1+MAX($A$13:A23),"")</f>
        <v>6</v>
      </c>
      <c r="B24" s="178" t="s">
        <v>378</v>
      </c>
      <c r="C24" s="151" t="s">
        <v>65</v>
      </c>
      <c r="D24" s="113" t="s">
        <v>217</v>
      </c>
      <c r="E24" s="112">
        <f>1*5*2*4*1.043</f>
        <v>41.72</v>
      </c>
      <c r="F24" s="107">
        <f>VLOOKUP(H24,'PROJECT SUMMARY'!$C$26:$D$32,2,0)</f>
        <v>0.05</v>
      </c>
      <c r="G24" s="112">
        <f>E24*(1+F24)</f>
        <v>43.805999999999997</v>
      </c>
      <c r="H24" s="151" t="s">
        <v>14</v>
      </c>
      <c r="I24" s="110">
        <v>1.4999999999999999E-2</v>
      </c>
      <c r="J24" s="111">
        <f>I24*G24</f>
        <v>0.65708999999999995</v>
      </c>
      <c r="K24" s="106">
        <v>52</v>
      </c>
      <c r="L24" s="106">
        <f>K24*J24</f>
        <v>34.168679999999995</v>
      </c>
      <c r="M24" s="106">
        <v>0.9</v>
      </c>
      <c r="N24" s="106">
        <f>M24*G24</f>
        <v>39.425399999999996</v>
      </c>
      <c r="O24" s="106">
        <f>L24+N24</f>
        <v>73.594079999999991</v>
      </c>
      <c r="P24" s="108"/>
    </row>
    <row r="25" spans="1:16" s="150" customFormat="1" x14ac:dyDescent="0.25">
      <c r="A25" s="109" t="str">
        <f>IF(G25&lt;&gt;"",1+MAX($A$13:A24),"")</f>
        <v/>
      </c>
      <c r="B25" s="151"/>
      <c r="C25" s="151"/>
      <c r="D25" s="113"/>
      <c r="E25" s="112"/>
      <c r="F25" s="107"/>
      <c r="G25" s="112"/>
      <c r="H25" s="151"/>
      <c r="I25" s="110"/>
      <c r="J25" s="111"/>
      <c r="K25" s="106"/>
      <c r="L25" s="106"/>
      <c r="M25" s="106"/>
      <c r="N25" s="106"/>
      <c r="O25" s="106"/>
      <c r="P25" s="108"/>
    </row>
    <row r="26" spans="1:16" s="104" customFormat="1" x14ac:dyDescent="0.25">
      <c r="A26" s="109">
        <f>IF(G26&lt;&gt;"",1+MAX($A$13:A25),"")</f>
        <v>7</v>
      </c>
      <c r="B26" s="178" t="s">
        <v>378</v>
      </c>
      <c r="C26" s="105" t="s">
        <v>65</v>
      </c>
      <c r="D26" s="113" t="s">
        <v>222</v>
      </c>
      <c r="E26" s="112">
        <f>1*5*5*1/27</f>
        <v>0.92592592592592593</v>
      </c>
      <c r="F26" s="107">
        <f>VLOOKUP(H26,'PROJECT SUMMARY'!$C$26:$D$32,2,0)</f>
        <v>0.05</v>
      </c>
      <c r="G26" s="112">
        <f t="shared" si="0"/>
        <v>0.97222222222222232</v>
      </c>
      <c r="H26" s="105" t="s">
        <v>16</v>
      </c>
      <c r="I26" s="110">
        <v>3.2</v>
      </c>
      <c r="J26" s="111">
        <f>I26*G26</f>
        <v>3.1111111111111116</v>
      </c>
      <c r="K26" s="106">
        <v>52</v>
      </c>
      <c r="L26" s="106">
        <f>K26*J26</f>
        <v>161.7777777777778</v>
      </c>
      <c r="M26" s="106">
        <v>206</v>
      </c>
      <c r="N26" s="106">
        <f>M26*G26</f>
        <v>200.2777777777778</v>
      </c>
      <c r="O26" s="106">
        <f>L26+N26</f>
        <v>362.0555555555556</v>
      </c>
      <c r="P26" s="108"/>
    </row>
    <row r="27" spans="1:16" s="150" customFormat="1" x14ac:dyDescent="0.25">
      <c r="A27" s="109">
        <f>IF(G27&lt;&gt;"",1+MAX($A$13:A26),"")</f>
        <v>8</v>
      </c>
      <c r="B27" s="178" t="s">
        <v>378</v>
      </c>
      <c r="C27" s="151" t="s">
        <v>65</v>
      </c>
      <c r="D27" s="113" t="s">
        <v>217</v>
      </c>
      <c r="E27" s="112">
        <f>1*6*2*5*1.043</f>
        <v>62.58</v>
      </c>
      <c r="F27" s="107">
        <f>VLOOKUP(H27,'PROJECT SUMMARY'!$C$26:$D$32,2,0)</f>
        <v>0.05</v>
      </c>
      <c r="G27" s="112">
        <f>E27*(1+F27)</f>
        <v>65.709000000000003</v>
      </c>
      <c r="H27" s="151" t="s">
        <v>14</v>
      </c>
      <c r="I27" s="110">
        <v>1.4999999999999999E-2</v>
      </c>
      <c r="J27" s="111">
        <f>I27*G27</f>
        <v>0.98563500000000004</v>
      </c>
      <c r="K27" s="106">
        <v>52</v>
      </c>
      <c r="L27" s="106">
        <f>K27*J27</f>
        <v>51.253019999999999</v>
      </c>
      <c r="M27" s="106">
        <v>0.9</v>
      </c>
      <c r="N27" s="106">
        <f>M27*G27</f>
        <v>59.138100000000001</v>
      </c>
      <c r="O27" s="106">
        <f>L27+N27</f>
        <v>110.39112</v>
      </c>
      <c r="P27" s="108"/>
    </row>
    <row r="28" spans="1:16" s="150" customFormat="1" x14ac:dyDescent="0.25">
      <c r="A28" s="109" t="str">
        <f>IF(G28&lt;&gt;"",1+MAX($A$13:A27),"")</f>
        <v/>
      </c>
      <c r="B28" s="151"/>
      <c r="C28" s="151"/>
      <c r="D28" s="113"/>
      <c r="E28" s="112"/>
      <c r="F28" s="107"/>
      <c r="G28" s="112"/>
      <c r="H28" s="151"/>
      <c r="I28" s="110"/>
      <c r="J28" s="111"/>
      <c r="K28" s="106"/>
      <c r="L28" s="106"/>
      <c r="M28" s="106"/>
      <c r="N28" s="106"/>
      <c r="O28" s="106"/>
      <c r="P28" s="108"/>
    </row>
    <row r="29" spans="1:16" s="104" customFormat="1" x14ac:dyDescent="0.25">
      <c r="A29" s="109">
        <f>IF(G29&lt;&gt;"",1+MAX($A$13:A28),"")</f>
        <v>9</v>
      </c>
      <c r="B29" s="178" t="s">
        <v>378</v>
      </c>
      <c r="C29" s="105" t="s">
        <v>65</v>
      </c>
      <c r="D29" s="113" t="s">
        <v>221</v>
      </c>
      <c r="E29" s="112">
        <f>1*8.5*7.5*2/27</f>
        <v>4.7222222222222223</v>
      </c>
      <c r="F29" s="107">
        <f>VLOOKUP(H29,'PROJECT SUMMARY'!$C$26:$D$32,2,0)</f>
        <v>0.05</v>
      </c>
      <c r="G29" s="112">
        <f t="shared" si="0"/>
        <v>4.9583333333333339</v>
      </c>
      <c r="H29" s="105" t="s">
        <v>16</v>
      </c>
      <c r="I29" s="110">
        <v>3.2</v>
      </c>
      <c r="J29" s="111">
        <f>I29*G29</f>
        <v>15.866666666666669</v>
      </c>
      <c r="K29" s="106">
        <v>52</v>
      </c>
      <c r="L29" s="106">
        <f>K29*J29</f>
        <v>825.06666666666683</v>
      </c>
      <c r="M29" s="106">
        <v>206</v>
      </c>
      <c r="N29" s="106">
        <f>M29*G29</f>
        <v>1021.4166666666667</v>
      </c>
      <c r="O29" s="106">
        <f>L29+N29</f>
        <v>1846.4833333333336</v>
      </c>
      <c r="P29" s="108"/>
    </row>
    <row r="30" spans="1:16" s="150" customFormat="1" x14ac:dyDescent="0.25">
      <c r="A30" s="109">
        <f>IF(G30&lt;&gt;"",1+MAX($A$13:A29),"")</f>
        <v>10</v>
      </c>
      <c r="B30" s="178" t="s">
        <v>378</v>
      </c>
      <c r="C30" s="151" t="s">
        <v>65</v>
      </c>
      <c r="D30" s="113" t="s">
        <v>217</v>
      </c>
      <c r="E30" s="112">
        <f>1*9*2*8*1.043</f>
        <v>150.19199999999998</v>
      </c>
      <c r="F30" s="107">
        <f>VLOOKUP(H30,'PROJECT SUMMARY'!$C$26:$D$32,2,0)</f>
        <v>0.05</v>
      </c>
      <c r="G30" s="112">
        <f>E30*(1+F30)</f>
        <v>157.70159999999998</v>
      </c>
      <c r="H30" s="151" t="s">
        <v>14</v>
      </c>
      <c r="I30" s="110">
        <v>1.4999999999999999E-2</v>
      </c>
      <c r="J30" s="111">
        <f>I30*G30</f>
        <v>2.3655239999999997</v>
      </c>
      <c r="K30" s="106">
        <v>52</v>
      </c>
      <c r="L30" s="106">
        <f>K30*J30</f>
        <v>123.00724799999999</v>
      </c>
      <c r="M30" s="106">
        <v>0.9</v>
      </c>
      <c r="N30" s="106">
        <f>M30*G30</f>
        <v>141.93143999999998</v>
      </c>
      <c r="O30" s="106">
        <f>L30+N30</f>
        <v>264.93868799999996</v>
      </c>
      <c r="P30" s="108"/>
    </row>
    <row r="31" spans="1:16" s="150" customFormat="1" x14ac:dyDescent="0.25">
      <c r="A31" s="109" t="str">
        <f>IF(G31&lt;&gt;"",1+MAX($A$13:A30),"")</f>
        <v/>
      </c>
      <c r="B31" s="151"/>
      <c r="C31" s="151"/>
      <c r="E31" s="112"/>
      <c r="F31" s="107"/>
      <c r="G31" s="112"/>
      <c r="H31" s="151"/>
      <c r="K31" s="106"/>
      <c r="L31" s="106"/>
      <c r="M31" s="106"/>
      <c r="N31" s="106"/>
      <c r="O31" s="106"/>
      <c r="P31" s="108"/>
    </row>
    <row r="32" spans="1:16" s="150" customFormat="1" x14ac:dyDescent="0.25">
      <c r="A32" s="109" t="str">
        <f>IF(G32&lt;&gt;"",1+MAX($A$13:A31),"")</f>
        <v/>
      </c>
      <c r="B32" s="151"/>
      <c r="C32" s="151"/>
      <c r="D32" s="58" t="s">
        <v>218</v>
      </c>
      <c r="E32" s="112"/>
      <c r="F32" s="107"/>
      <c r="G32" s="112"/>
      <c r="H32" s="151"/>
      <c r="J32" s="111"/>
      <c r="K32" s="106"/>
      <c r="L32" s="106"/>
      <c r="M32" s="106"/>
      <c r="N32" s="106"/>
      <c r="O32" s="106"/>
      <c r="P32" s="108"/>
    </row>
    <row r="33" spans="1:16" s="104" customFormat="1" x14ac:dyDescent="0.25">
      <c r="A33" s="109">
        <f>IF(G33&lt;&gt;"",1+MAX($A$13:A32),"")</f>
        <v>11</v>
      </c>
      <c r="B33" s="178" t="s">
        <v>378</v>
      </c>
      <c r="C33" s="105" t="s">
        <v>65</v>
      </c>
      <c r="D33" s="113" t="s">
        <v>225</v>
      </c>
      <c r="E33" s="112">
        <f>253.13*1.5*1/27</f>
        <v>14.062777777777777</v>
      </c>
      <c r="F33" s="107">
        <f>VLOOKUP(H33,'PROJECT SUMMARY'!$C$26:$D$32,2,0)</f>
        <v>0.05</v>
      </c>
      <c r="G33" s="112">
        <f t="shared" si="0"/>
        <v>14.765916666666666</v>
      </c>
      <c r="H33" s="105" t="s">
        <v>16</v>
      </c>
      <c r="I33" s="110">
        <v>3.2</v>
      </c>
      <c r="J33" s="111">
        <f>I33*G33</f>
        <v>47.250933333333336</v>
      </c>
      <c r="K33" s="106">
        <v>52</v>
      </c>
      <c r="L33" s="106">
        <f>K33*J33</f>
        <v>2457.0485333333336</v>
      </c>
      <c r="M33" s="106">
        <v>206</v>
      </c>
      <c r="N33" s="106">
        <f>M33*G33</f>
        <v>3041.7788333333333</v>
      </c>
      <c r="O33" s="106">
        <f>L33+N33</f>
        <v>5498.8273666666664</v>
      </c>
      <c r="P33" s="108"/>
    </row>
    <row r="34" spans="1:16" s="152" customFormat="1" x14ac:dyDescent="0.25">
      <c r="A34" s="109">
        <f>IF(G34&lt;&gt;"",1+MAX($A$13:A33),"")</f>
        <v>12</v>
      </c>
      <c r="B34" s="178" t="s">
        <v>378</v>
      </c>
      <c r="C34" s="153" t="s">
        <v>65</v>
      </c>
      <c r="D34" s="113" t="s">
        <v>217</v>
      </c>
      <c r="E34" s="112">
        <f>253.13*2*1.043</f>
        <v>528.02918</v>
      </c>
      <c r="F34" s="107">
        <f>VLOOKUP(H34,'PROJECT SUMMARY'!$C$26:$D$32,2,0)</f>
        <v>0.05</v>
      </c>
      <c r="G34" s="112">
        <f>E34*(1+F34)</f>
        <v>554.43063900000004</v>
      </c>
      <c r="H34" s="153" t="s">
        <v>14</v>
      </c>
      <c r="I34" s="110">
        <v>1.4999999999999999E-2</v>
      </c>
      <c r="J34" s="111">
        <f>I34*G34</f>
        <v>8.3164595850000005</v>
      </c>
      <c r="K34" s="106">
        <v>52</v>
      </c>
      <c r="L34" s="106">
        <f>K34*J34</f>
        <v>432.45589842000004</v>
      </c>
      <c r="M34" s="106">
        <v>0.9</v>
      </c>
      <c r="N34" s="106">
        <f>M34*G34</f>
        <v>498.98757510000007</v>
      </c>
      <c r="O34" s="106">
        <f>L34+N34</f>
        <v>931.44347352000011</v>
      </c>
      <c r="P34" s="108"/>
    </row>
    <row r="35" spans="1:16" s="152" customFormat="1" x14ac:dyDescent="0.25">
      <c r="A35" s="109" t="str">
        <f>IF(G35&lt;&gt;"",1+MAX($A$13:A34),"")</f>
        <v/>
      </c>
      <c r="B35" s="153"/>
      <c r="C35" s="153"/>
      <c r="D35" s="113"/>
      <c r="E35" s="112"/>
      <c r="F35" s="107"/>
      <c r="G35" s="112"/>
      <c r="H35" s="153"/>
      <c r="I35" s="110"/>
      <c r="J35" s="111"/>
      <c r="K35" s="106"/>
      <c r="L35" s="106"/>
      <c r="M35" s="106"/>
      <c r="N35" s="106"/>
      <c r="O35" s="106"/>
      <c r="P35" s="108"/>
    </row>
    <row r="36" spans="1:16" s="104" customFormat="1" x14ac:dyDescent="0.25">
      <c r="A36" s="109">
        <f>IF(G36&lt;&gt;"",1+MAX($A$13:A35),"")</f>
        <v>13</v>
      </c>
      <c r="B36" s="178" t="s">
        <v>378</v>
      </c>
      <c r="C36" s="105" t="s">
        <v>65</v>
      </c>
      <c r="D36" s="113" t="s">
        <v>226</v>
      </c>
      <c r="E36" s="112">
        <f>35.64*2*1/27</f>
        <v>2.64</v>
      </c>
      <c r="F36" s="107">
        <f>VLOOKUP(H36,'PROJECT SUMMARY'!$C$26:$D$32,2,0)</f>
        <v>0.05</v>
      </c>
      <c r="G36" s="112">
        <f t="shared" si="0"/>
        <v>2.7720000000000002</v>
      </c>
      <c r="H36" s="105" t="s">
        <v>16</v>
      </c>
      <c r="I36" s="110">
        <v>3.2</v>
      </c>
      <c r="J36" s="111">
        <f>I36*G36</f>
        <v>8.8704000000000018</v>
      </c>
      <c r="K36" s="106">
        <v>52</v>
      </c>
      <c r="L36" s="106">
        <f>K36*J36</f>
        <v>461.26080000000007</v>
      </c>
      <c r="M36" s="106">
        <v>206</v>
      </c>
      <c r="N36" s="106">
        <f>M36*G36</f>
        <v>571.03200000000004</v>
      </c>
      <c r="O36" s="106">
        <f>L36+N36</f>
        <v>1032.2928000000002</v>
      </c>
      <c r="P36" s="108"/>
    </row>
    <row r="37" spans="1:16" s="104" customFormat="1" x14ac:dyDescent="0.25">
      <c r="A37" s="109">
        <f>IF(G37&lt;&gt;"",1+MAX($A$13:A36),"")</f>
        <v>14</v>
      </c>
      <c r="B37" s="178" t="s">
        <v>378</v>
      </c>
      <c r="C37" s="105" t="s">
        <v>65</v>
      </c>
      <c r="D37" s="113" t="s">
        <v>217</v>
      </c>
      <c r="E37" s="112">
        <f>35.64*3*1.043</f>
        <v>111.51755999999999</v>
      </c>
      <c r="F37" s="107">
        <f>VLOOKUP(H37,'PROJECT SUMMARY'!$C$26:$D$32,2,0)</f>
        <v>0.05</v>
      </c>
      <c r="G37" s="112">
        <f>E37*(1+F37)</f>
        <v>117.09343799999999</v>
      </c>
      <c r="H37" s="155" t="s">
        <v>14</v>
      </c>
      <c r="I37" s="110">
        <v>1.4999999999999999E-2</v>
      </c>
      <c r="J37" s="111">
        <f>I37*G37</f>
        <v>1.7564015699999997</v>
      </c>
      <c r="K37" s="106">
        <v>52</v>
      </c>
      <c r="L37" s="106">
        <f>K37*J37</f>
        <v>91.332881639999982</v>
      </c>
      <c r="M37" s="106">
        <v>0.9</v>
      </c>
      <c r="N37" s="106">
        <f>M37*G37</f>
        <v>105.38409419999999</v>
      </c>
      <c r="O37" s="106">
        <f>L37+N37</f>
        <v>196.71697583999998</v>
      </c>
      <c r="P37" s="108"/>
    </row>
    <row r="38" spans="1:16" s="154" customFormat="1" x14ac:dyDescent="0.25">
      <c r="A38" s="109" t="str">
        <f>IF(G38&lt;&gt;"",1+MAX($A$13:A37),"")</f>
        <v/>
      </c>
      <c r="B38" s="155"/>
      <c r="C38" s="155"/>
      <c r="E38" s="112"/>
      <c r="F38" s="107"/>
      <c r="G38" s="112"/>
      <c r="H38" s="155"/>
      <c r="K38" s="106"/>
      <c r="L38" s="106"/>
      <c r="M38" s="106"/>
      <c r="N38" s="106"/>
      <c r="O38" s="106"/>
      <c r="P38" s="108"/>
    </row>
    <row r="39" spans="1:16" s="154" customFormat="1" x14ac:dyDescent="0.25">
      <c r="A39" s="109" t="str">
        <f>IF(G39&lt;&gt;"",1+MAX($A$13:A38),"")</f>
        <v/>
      </c>
      <c r="B39" s="155"/>
      <c r="C39" s="155"/>
      <c r="D39" s="58" t="s">
        <v>227</v>
      </c>
      <c r="E39" s="112"/>
      <c r="F39" s="107"/>
      <c r="G39" s="112"/>
      <c r="H39" s="155"/>
      <c r="J39" s="111"/>
      <c r="K39" s="106"/>
      <c r="L39" s="106"/>
      <c r="M39" s="106"/>
      <c r="N39" s="106"/>
      <c r="O39" s="106"/>
      <c r="P39" s="108"/>
    </row>
    <row r="40" spans="1:16" s="104" customFormat="1" x14ac:dyDescent="0.25">
      <c r="A40" s="109">
        <f>IF(G40&lt;&gt;"",1+MAX($A$13:A39),"")</f>
        <v>15</v>
      </c>
      <c r="B40" s="178" t="s">
        <v>378</v>
      </c>
      <c r="C40" s="105" t="s">
        <v>65</v>
      </c>
      <c r="D40" s="113" t="s">
        <v>228</v>
      </c>
      <c r="E40" s="112">
        <f>198.38*0.67*2.5/27</f>
        <v>12.30690740740741</v>
      </c>
      <c r="F40" s="107">
        <f>VLOOKUP(H40,'PROJECT SUMMARY'!$C$26:$D$32,2,0)</f>
        <v>0.05</v>
      </c>
      <c r="G40" s="112">
        <f t="shared" si="0"/>
        <v>12.92225277777778</v>
      </c>
      <c r="H40" s="105" t="s">
        <v>16</v>
      </c>
      <c r="I40" s="110">
        <v>3.2</v>
      </c>
      <c r="J40" s="111">
        <f>I40*G40</f>
        <v>41.351208888888898</v>
      </c>
      <c r="K40" s="106">
        <v>52</v>
      </c>
      <c r="L40" s="106">
        <f>K40*J40</f>
        <v>2150.2628622222228</v>
      </c>
      <c r="M40" s="106">
        <v>206</v>
      </c>
      <c r="N40" s="106">
        <f>M40*G40</f>
        <v>2661.9840722222229</v>
      </c>
      <c r="O40" s="106">
        <f>L40+N40</f>
        <v>4812.2469344444453</v>
      </c>
      <c r="P40" s="108"/>
    </row>
    <row r="41" spans="1:16" s="104" customFormat="1" x14ac:dyDescent="0.25">
      <c r="A41" s="109">
        <f>IF(G41&lt;&gt;"",1+MAX($A$13:A40),"")</f>
        <v>16</v>
      </c>
      <c r="B41" s="178" t="s">
        <v>378</v>
      </c>
      <c r="C41" s="105" t="s">
        <v>65</v>
      </c>
      <c r="D41" s="113" t="s">
        <v>217</v>
      </c>
      <c r="E41" s="112">
        <f>198.38*2.5/1.33*1.043</f>
        <v>388.92921052631579</v>
      </c>
      <c r="F41" s="107">
        <f>VLOOKUP(H41,'PROJECT SUMMARY'!$C$26:$D$32,2,0)</f>
        <v>0.05</v>
      </c>
      <c r="G41" s="112">
        <f t="shared" si="0"/>
        <v>408.37567105263162</v>
      </c>
      <c r="H41" s="157" t="s">
        <v>14</v>
      </c>
      <c r="I41" s="110">
        <v>1.4999999999999999E-2</v>
      </c>
      <c r="J41" s="111">
        <f>I41*G41</f>
        <v>6.1256350657894743</v>
      </c>
      <c r="K41" s="106">
        <v>52</v>
      </c>
      <c r="L41" s="106">
        <f>K41*J41</f>
        <v>318.53302342105269</v>
      </c>
      <c r="M41" s="106">
        <v>0.9</v>
      </c>
      <c r="N41" s="106">
        <f>M41*G41</f>
        <v>367.53810394736848</v>
      </c>
      <c r="O41" s="106">
        <f>L41+N41</f>
        <v>686.07112736842123</v>
      </c>
      <c r="P41" s="108"/>
    </row>
    <row r="42" spans="1:16" s="156" customFormat="1" x14ac:dyDescent="0.25">
      <c r="A42" s="109" t="str">
        <f>IF(G42&lt;&gt;"",1+MAX($A$13:A41),"")</f>
        <v/>
      </c>
      <c r="B42" s="157"/>
      <c r="C42" s="157"/>
      <c r="E42" s="112"/>
      <c r="F42" s="107"/>
      <c r="G42" s="112"/>
      <c r="H42" s="157"/>
      <c r="K42" s="106"/>
      <c r="L42" s="106"/>
      <c r="M42" s="106"/>
      <c r="N42" s="106"/>
      <c r="O42" s="106"/>
      <c r="P42" s="108"/>
    </row>
    <row r="43" spans="1:16" s="156" customFormat="1" x14ac:dyDescent="0.25">
      <c r="A43" s="109" t="str">
        <f>IF(G43&lt;&gt;"",1+MAX($A$13:A42),"")</f>
        <v/>
      </c>
      <c r="B43" s="157"/>
      <c r="C43" s="157"/>
      <c r="D43" s="58" t="s">
        <v>67</v>
      </c>
      <c r="E43" s="112"/>
      <c r="F43" s="107"/>
      <c r="G43" s="112"/>
      <c r="H43" s="157"/>
      <c r="J43" s="111"/>
      <c r="K43" s="106"/>
      <c r="L43" s="106"/>
      <c r="M43" s="106"/>
      <c r="N43" s="106"/>
      <c r="O43" s="106"/>
      <c r="P43" s="108"/>
    </row>
    <row r="44" spans="1:16" s="104" customFormat="1" x14ac:dyDescent="0.25">
      <c r="A44" s="109">
        <f>IF(G44&lt;&gt;"",1+MAX($A$13:A43),"")</f>
        <v>17</v>
      </c>
      <c r="B44" s="105" t="s">
        <v>379</v>
      </c>
      <c r="C44" s="105" t="s">
        <v>65</v>
      </c>
      <c r="D44" s="113" t="s">
        <v>229</v>
      </c>
      <c r="E44" s="112">
        <f>2030.54*0.33/27</f>
        <v>24.817711111111112</v>
      </c>
      <c r="F44" s="107">
        <f>VLOOKUP(H44,'PROJECT SUMMARY'!$C$26:$D$32,2,0)</f>
        <v>0.05</v>
      </c>
      <c r="G44" s="112">
        <f t="shared" si="0"/>
        <v>26.05859666666667</v>
      </c>
      <c r="H44" s="105" t="s">
        <v>16</v>
      </c>
      <c r="I44" s="110">
        <v>3.2</v>
      </c>
      <c r="J44" s="111">
        <f>I44*G44</f>
        <v>83.387509333333355</v>
      </c>
      <c r="K44" s="106">
        <v>52</v>
      </c>
      <c r="L44" s="106">
        <f>K44*J44</f>
        <v>4336.1504853333345</v>
      </c>
      <c r="M44" s="106">
        <v>206</v>
      </c>
      <c r="N44" s="106">
        <f t="shared" ref="N44:N52" si="1">M44*G44</f>
        <v>5368.0709133333339</v>
      </c>
      <c r="O44" s="106">
        <f t="shared" ref="O44:O52" si="2">L44+N44</f>
        <v>9704.2213986666684</v>
      </c>
      <c r="P44" s="108"/>
    </row>
    <row r="45" spans="1:16" s="104" customFormat="1" x14ac:dyDescent="0.25">
      <c r="A45" s="109">
        <f>IF(G45&lt;&gt;"",1+MAX($A$13:A44),"")</f>
        <v>18</v>
      </c>
      <c r="B45" s="178" t="s">
        <v>379</v>
      </c>
      <c r="C45" s="105" t="s">
        <v>65</v>
      </c>
      <c r="D45" s="113" t="s">
        <v>230</v>
      </c>
      <c r="E45" s="112">
        <f>2030.54</f>
        <v>2030.54</v>
      </c>
      <c r="F45" s="107">
        <f>VLOOKUP(H45,'PROJECT SUMMARY'!$C$26:$D$32,2,0)</f>
        <v>0.05</v>
      </c>
      <c r="G45" s="112">
        <f t="shared" si="0"/>
        <v>2132.067</v>
      </c>
      <c r="H45" s="105" t="s">
        <v>12</v>
      </c>
      <c r="I45" s="110">
        <v>7.0000000000000001E-3</v>
      </c>
      <c r="J45" s="111">
        <f t="shared" ref="J45:J47" si="3">I45*G45</f>
        <v>14.924469</v>
      </c>
      <c r="K45" s="106">
        <v>52</v>
      </c>
      <c r="L45" s="106">
        <f t="shared" ref="L45:L47" si="4">K45*J45</f>
        <v>776.07238800000005</v>
      </c>
      <c r="M45" s="106">
        <v>0.32600000000000001</v>
      </c>
      <c r="N45" s="106">
        <f t="shared" si="1"/>
        <v>695.05384200000003</v>
      </c>
      <c r="O45" s="106">
        <f t="shared" si="2"/>
        <v>1471.1262300000001</v>
      </c>
      <c r="P45" s="108"/>
    </row>
    <row r="46" spans="1:16" s="104" customFormat="1" x14ac:dyDescent="0.25">
      <c r="A46" s="109">
        <f>IF(G46&lt;&gt;"",1+MAX($A$13:A45),"")</f>
        <v>19</v>
      </c>
      <c r="B46" s="178" t="s">
        <v>379</v>
      </c>
      <c r="C46" s="105" t="s">
        <v>65</v>
      </c>
      <c r="D46" s="113" t="s">
        <v>231</v>
      </c>
      <c r="E46" s="112">
        <f>2030.54</f>
        <v>2030.54</v>
      </c>
      <c r="F46" s="107">
        <f>VLOOKUP(H46,'PROJECT SUMMARY'!$C$26:$D$32,2,0)</f>
        <v>0.05</v>
      </c>
      <c r="G46" s="112">
        <f t="shared" si="0"/>
        <v>2132.067</v>
      </c>
      <c r="H46" s="159" t="s">
        <v>12</v>
      </c>
      <c r="I46" s="110">
        <v>1.2E-2</v>
      </c>
      <c r="J46" s="111">
        <f t="shared" si="3"/>
        <v>25.584804000000002</v>
      </c>
      <c r="K46" s="106">
        <v>52</v>
      </c>
      <c r="L46" s="106">
        <f t="shared" si="4"/>
        <v>1330.4098080000001</v>
      </c>
      <c r="M46" s="106">
        <v>1.23125</v>
      </c>
      <c r="N46" s="106">
        <f t="shared" si="1"/>
        <v>2625.1074937499998</v>
      </c>
      <c r="O46" s="106">
        <f t="shared" si="2"/>
        <v>3955.5173017500001</v>
      </c>
      <c r="P46" s="108"/>
    </row>
    <row r="47" spans="1:16" s="158" customFormat="1" x14ac:dyDescent="0.25">
      <c r="A47" s="109">
        <f>IF(G47&lt;&gt;"",1+MAX($A$13:A46),"")</f>
        <v>20</v>
      </c>
      <c r="B47" s="178" t="s">
        <v>379</v>
      </c>
      <c r="C47" s="159" t="s">
        <v>65</v>
      </c>
      <c r="D47" s="113" t="s">
        <v>235</v>
      </c>
      <c r="E47" s="112">
        <f>2030.54*0.5/27</f>
        <v>37.602592592592593</v>
      </c>
      <c r="F47" s="107">
        <f>VLOOKUP(H47,'PROJECT SUMMARY'!$C$26:$D$32,2,0)</f>
        <v>0.05</v>
      </c>
      <c r="G47" s="112">
        <f t="shared" ref="G47:G49" si="5">E47*(1+F47)</f>
        <v>39.482722222222222</v>
      </c>
      <c r="H47" s="159" t="s">
        <v>16</v>
      </c>
      <c r="I47" s="110">
        <v>0.5</v>
      </c>
      <c r="J47" s="111">
        <f t="shared" si="3"/>
        <v>19.741361111111111</v>
      </c>
      <c r="K47" s="106">
        <v>52</v>
      </c>
      <c r="L47" s="106">
        <f t="shared" si="4"/>
        <v>1026.5507777777777</v>
      </c>
      <c r="M47" s="106">
        <v>40</v>
      </c>
      <c r="N47" s="106">
        <f t="shared" si="1"/>
        <v>1579.3088888888888</v>
      </c>
      <c r="O47" s="106">
        <f t="shared" si="2"/>
        <v>2605.8596666666663</v>
      </c>
      <c r="P47" s="108"/>
    </row>
    <row r="48" spans="1:16" s="177" customFormat="1" x14ac:dyDescent="0.25">
      <c r="A48" s="109" t="str">
        <f>IF(G48&lt;&gt;"",1+MAX($A$13:A47),"")</f>
        <v/>
      </c>
      <c r="B48" s="178"/>
      <c r="C48" s="178"/>
      <c r="D48" s="113"/>
      <c r="E48" s="112"/>
      <c r="F48" s="107"/>
      <c r="G48" s="112"/>
      <c r="H48" s="178"/>
      <c r="I48" s="110"/>
      <c r="J48" s="111"/>
      <c r="K48" s="106"/>
      <c r="L48" s="106"/>
      <c r="M48" s="106"/>
      <c r="N48" s="106"/>
      <c r="O48" s="106"/>
      <c r="P48" s="108"/>
    </row>
    <row r="49" spans="1:16" s="177" customFormat="1" x14ac:dyDescent="0.25">
      <c r="A49" s="109">
        <f>IF(G49&lt;&gt;"",1+MAX($A$13:A48),"")</f>
        <v>21</v>
      </c>
      <c r="B49" s="178" t="s">
        <v>380</v>
      </c>
      <c r="C49" s="178" t="s">
        <v>65</v>
      </c>
      <c r="D49" s="113" t="s">
        <v>257</v>
      </c>
      <c r="E49" s="112">
        <f>2696.46*0.25/27</f>
        <v>24.967222222222222</v>
      </c>
      <c r="F49" s="107">
        <f>VLOOKUP(H49,'PROJECT SUMMARY'!$C$26:$D$32,2,0)</f>
        <v>0.05</v>
      </c>
      <c r="G49" s="112">
        <f t="shared" si="5"/>
        <v>26.215583333333335</v>
      </c>
      <c r="H49" s="178" t="s">
        <v>16</v>
      </c>
      <c r="I49" s="110">
        <v>3.2</v>
      </c>
      <c r="J49" s="111">
        <f>I49*G49</f>
        <v>83.889866666666677</v>
      </c>
      <c r="K49" s="106">
        <v>52</v>
      </c>
      <c r="L49" s="106">
        <f>K49*J49</f>
        <v>4362.2730666666675</v>
      </c>
      <c r="M49" s="106">
        <v>206</v>
      </c>
      <c r="N49" s="106">
        <f t="shared" si="1"/>
        <v>5400.4101666666666</v>
      </c>
      <c r="O49" s="106">
        <f t="shared" si="2"/>
        <v>9762.6832333333332</v>
      </c>
      <c r="P49" s="108"/>
    </row>
    <row r="50" spans="1:16" s="158" customFormat="1" x14ac:dyDescent="0.25">
      <c r="A50" s="109" t="str">
        <f>IF(G50&lt;&gt;"",1+MAX($A$13:A49),"")</f>
        <v/>
      </c>
      <c r="B50" s="159"/>
      <c r="C50" s="159"/>
      <c r="E50" s="112"/>
      <c r="F50" s="107"/>
      <c r="G50" s="112"/>
      <c r="H50" s="159"/>
      <c r="I50" s="177"/>
      <c r="J50" s="177"/>
      <c r="K50" s="106"/>
      <c r="L50" s="106"/>
      <c r="M50" s="106"/>
      <c r="N50" s="106"/>
      <c r="O50" s="106"/>
      <c r="P50" s="108"/>
    </row>
    <row r="51" spans="1:16" s="158" customFormat="1" x14ac:dyDescent="0.25">
      <c r="A51" s="109" t="str">
        <f>IF(G51&lt;&gt;"",1+MAX($A$13:A50),"")</f>
        <v/>
      </c>
      <c r="B51" s="159"/>
      <c r="C51" s="159"/>
      <c r="D51" s="58" t="s">
        <v>232</v>
      </c>
      <c r="E51" s="112"/>
      <c r="F51" s="107"/>
      <c r="G51" s="112"/>
      <c r="H51" s="159"/>
      <c r="I51" s="177"/>
      <c r="J51" s="111"/>
      <c r="K51" s="106"/>
      <c r="L51" s="106"/>
      <c r="M51" s="106"/>
      <c r="N51" s="106"/>
      <c r="O51" s="106"/>
      <c r="P51" s="108"/>
    </row>
    <row r="52" spans="1:16" s="104" customFormat="1" x14ac:dyDescent="0.25">
      <c r="A52" s="109">
        <f>IF(G52&lt;&gt;"",1+MAX($A$13:A51),"")</f>
        <v>22</v>
      </c>
      <c r="B52" s="105"/>
      <c r="C52" s="105" t="s">
        <v>65</v>
      </c>
      <c r="D52" s="113" t="s">
        <v>233</v>
      </c>
      <c r="E52" s="112">
        <v>1842</v>
      </c>
      <c r="F52" s="107">
        <f>VLOOKUP(H52,'PROJECT SUMMARY'!$C$26:$D$32,2,0)</f>
        <v>0.05</v>
      </c>
      <c r="G52" s="112">
        <f t="shared" si="0"/>
        <v>1934.1000000000001</v>
      </c>
      <c r="H52" s="105" t="s">
        <v>12</v>
      </c>
      <c r="I52" s="110">
        <v>0.02</v>
      </c>
      <c r="J52" s="111">
        <f t="shared" ref="J52" si="6">I52*G52</f>
        <v>38.682000000000002</v>
      </c>
      <c r="K52" s="106">
        <v>52</v>
      </c>
      <c r="L52" s="106">
        <f t="shared" ref="L52" si="7">K52*J52</f>
        <v>2011.4640000000002</v>
      </c>
      <c r="M52" s="106"/>
      <c r="N52" s="106">
        <f t="shared" si="1"/>
        <v>0</v>
      </c>
      <c r="O52" s="106">
        <f t="shared" si="2"/>
        <v>2011.4640000000002</v>
      </c>
      <c r="P52" s="108"/>
    </row>
    <row r="53" spans="1:16" x14ac:dyDescent="0.25">
      <c r="A53" s="109" t="str">
        <f>IF(G53&lt;&gt;"",1+MAX($A$13:A52),"")</f>
        <v/>
      </c>
      <c r="D53" s="59"/>
      <c r="H53" s="82"/>
      <c r="I53" s="110"/>
      <c r="J53" s="111"/>
      <c r="K53" s="106"/>
      <c r="L53" s="106"/>
      <c r="M53" s="106"/>
      <c r="N53" s="106"/>
      <c r="O53" s="106"/>
      <c r="P53" s="46"/>
    </row>
    <row r="54" spans="1:16" x14ac:dyDescent="0.25">
      <c r="A54" s="109" t="str">
        <f>IF(G54&lt;&gt;"",1+MAX($A$13:A53),"")</f>
        <v/>
      </c>
      <c r="D54" s="58" t="s">
        <v>68</v>
      </c>
      <c r="H54" s="82"/>
      <c r="I54" s="110"/>
      <c r="J54" s="111"/>
      <c r="K54" s="106"/>
      <c r="L54" s="106"/>
      <c r="M54" s="106"/>
      <c r="N54" s="106"/>
      <c r="O54" s="106"/>
      <c r="P54" s="46"/>
    </row>
    <row r="55" spans="1:16" x14ac:dyDescent="0.25">
      <c r="A55" s="109">
        <f>IF(G55&lt;&gt;"",1+MAX($A$13:A54),"")</f>
        <v>23</v>
      </c>
      <c r="C55" s="16" t="s">
        <v>65</v>
      </c>
      <c r="D55" s="113" t="s">
        <v>69</v>
      </c>
      <c r="E55" s="112">
        <v>65</v>
      </c>
      <c r="F55" s="39">
        <f>VLOOKUP(H55,'PROJECT SUMMARY'!$C$26:$D$32,2,0)</f>
        <v>0.05</v>
      </c>
      <c r="G55" s="31">
        <f>E55*(1+F55)</f>
        <v>68.25</v>
      </c>
      <c r="H55" s="82" t="s">
        <v>16</v>
      </c>
      <c r="I55" s="110">
        <v>0.25</v>
      </c>
      <c r="J55" s="111">
        <f>I55*G55</f>
        <v>17.0625</v>
      </c>
      <c r="K55" s="106">
        <v>52</v>
      </c>
      <c r="L55" s="106">
        <f>K55*J55</f>
        <v>887.25</v>
      </c>
      <c r="M55" s="106"/>
      <c r="N55" s="106">
        <f>M55*G55</f>
        <v>0</v>
      </c>
      <c r="O55" s="106">
        <f>L55+N55</f>
        <v>887.25</v>
      </c>
      <c r="P55" s="46"/>
    </row>
    <row r="56" spans="1:16" s="158" customFormat="1" x14ac:dyDescent="0.25">
      <c r="A56" s="109">
        <f>IF(G56&lt;&gt;"",1+MAX($A$13:A55),"")</f>
        <v>24</v>
      </c>
      <c r="B56" s="159"/>
      <c r="C56" s="159" t="s">
        <v>65</v>
      </c>
      <c r="D56" s="113" t="s">
        <v>234</v>
      </c>
      <c r="E56" s="112">
        <f>1658/2000</f>
        <v>0.82899999999999996</v>
      </c>
      <c r="F56" s="107">
        <f>VLOOKUP(H56,'PROJECT SUMMARY'!$C$26:$D$32,2,0)</f>
        <v>0.05</v>
      </c>
      <c r="G56" s="112">
        <f>E56*(1+F56)</f>
        <v>0.87044999999999995</v>
      </c>
      <c r="H56" s="159" t="s">
        <v>15</v>
      </c>
      <c r="I56" s="110">
        <v>4</v>
      </c>
      <c r="J56" s="111">
        <f>I56*G56</f>
        <v>3.4817999999999998</v>
      </c>
      <c r="K56" s="106">
        <v>52</v>
      </c>
      <c r="L56" s="106">
        <f>K56*J56</f>
        <v>181.05359999999999</v>
      </c>
      <c r="M56" s="106"/>
      <c r="N56" s="106">
        <f>M56*G56</f>
        <v>0</v>
      </c>
      <c r="O56" s="106">
        <f>L56+N56</f>
        <v>181.05359999999999</v>
      </c>
      <c r="P56" s="108"/>
    </row>
    <row r="57" spans="1:16" s="158" customFormat="1" x14ac:dyDescent="0.25">
      <c r="A57" s="109">
        <f>IF(G57&lt;&gt;"",1+MAX($A$13:A56),"")</f>
        <v>25</v>
      </c>
      <c r="B57" s="159"/>
      <c r="C57" s="159" t="s">
        <v>65</v>
      </c>
      <c r="D57" s="113" t="s">
        <v>236</v>
      </c>
      <c r="E57" s="112">
        <f>38*1.4</f>
        <v>53.199999999999996</v>
      </c>
      <c r="F57" s="107">
        <f>VLOOKUP(H57,'PROJECT SUMMARY'!$C$26:$D$32,2,0)</f>
        <v>0.05</v>
      </c>
      <c r="G57" s="112">
        <f>E57*(1+F57)</f>
        <v>55.86</v>
      </c>
      <c r="H57" s="159" t="s">
        <v>15</v>
      </c>
      <c r="I57" s="110">
        <v>0.2</v>
      </c>
      <c r="J57" s="111">
        <f>I57*G57</f>
        <v>11.172000000000001</v>
      </c>
      <c r="K57" s="106">
        <v>52</v>
      </c>
      <c r="L57" s="106">
        <f>K57*J57</f>
        <v>580.94400000000007</v>
      </c>
      <c r="M57" s="106"/>
      <c r="N57" s="106">
        <f>M57*G57</f>
        <v>0</v>
      </c>
      <c r="O57" s="106">
        <f>L57+N57</f>
        <v>580.94400000000007</v>
      </c>
      <c r="P57" s="108"/>
    </row>
    <row r="58" spans="1:16" ht="16.5" thickBot="1" x14ac:dyDescent="0.3">
      <c r="A58" s="109" t="str">
        <f>IF(G58&lt;&gt;"",1+MAX($A$13:A57),"")</f>
        <v/>
      </c>
      <c r="H58" s="82"/>
      <c r="P58" s="46"/>
    </row>
    <row r="59" spans="1:16" s="81" customFormat="1" ht="16.5" thickBot="1" x14ac:dyDescent="0.3">
      <c r="A59" s="89" t="str">
        <f>IF(G59&lt;&gt;"",1+MAX($A$13:A58),"")</f>
        <v/>
      </c>
      <c r="B59" s="85"/>
      <c r="C59" s="85" t="s">
        <v>42</v>
      </c>
      <c r="D59" s="83" t="s">
        <v>43</v>
      </c>
      <c r="E59" s="87"/>
      <c r="F59" s="88"/>
      <c r="G59" s="87"/>
      <c r="H59" s="87"/>
      <c r="I59" s="83"/>
      <c r="J59" s="83"/>
      <c r="K59" s="84"/>
      <c r="L59" s="84"/>
      <c r="M59" s="84"/>
      <c r="N59" s="84"/>
      <c r="O59" s="86"/>
      <c r="P59" s="90">
        <f>SUM(O60:O66)</f>
        <v>8950.6976000000013</v>
      </c>
    </row>
    <row r="60" spans="1:16" x14ac:dyDescent="0.25">
      <c r="A60" s="109" t="str">
        <f>IF(G60&lt;&gt;"",1+MAX($A$13:A59),"")</f>
        <v/>
      </c>
      <c r="H60" s="82"/>
      <c r="P60" s="46"/>
    </row>
    <row r="61" spans="1:16" x14ac:dyDescent="0.25">
      <c r="A61" s="109" t="str">
        <f>IF(G61&lt;&gt;"",1+MAX($A$13:A60),"")</f>
        <v/>
      </c>
      <c r="D61" s="58" t="s">
        <v>185</v>
      </c>
      <c r="H61" s="82"/>
      <c r="I61" s="62"/>
      <c r="J61" s="71"/>
      <c r="P61" s="46"/>
    </row>
    <row r="62" spans="1:16" x14ac:dyDescent="0.25">
      <c r="A62" s="109">
        <f>IF(G62&lt;&gt;"",1+MAX($A$13:A61),"")</f>
        <v>26</v>
      </c>
      <c r="B62" s="82" t="s">
        <v>379</v>
      </c>
      <c r="C62" s="16" t="s">
        <v>42</v>
      </c>
      <c r="D62" s="113" t="s">
        <v>186</v>
      </c>
      <c r="E62" s="112">
        <f>8*10*25.82</f>
        <v>2065.6</v>
      </c>
      <c r="F62" s="39">
        <f>VLOOKUP(H62,'PROJECT SUMMARY'!$C$26:$D$32,2,0)</f>
        <v>0.05</v>
      </c>
      <c r="G62" s="31">
        <f t="shared" ref="G62:G65" si="8">E62*(1+F62)</f>
        <v>2168.88</v>
      </c>
      <c r="H62" s="82" t="s">
        <v>14</v>
      </c>
      <c r="I62" s="110">
        <v>0.02</v>
      </c>
      <c r="J62" s="111">
        <f t="shared" ref="J62" si="9">I62*G62</f>
        <v>43.377600000000001</v>
      </c>
      <c r="K62" s="106">
        <v>65</v>
      </c>
      <c r="L62" s="106">
        <f t="shared" ref="L62" si="10">K62*J62</f>
        <v>2819.5439999999999</v>
      </c>
      <c r="M62" s="106">
        <v>2.2200000000000002</v>
      </c>
      <c r="N62" s="106">
        <f t="shared" ref="N62:N65" si="11">M62*G62</f>
        <v>4814.9136000000008</v>
      </c>
      <c r="O62" s="106">
        <f t="shared" ref="O62:O65" si="12">L62+N62</f>
        <v>7634.4576000000006</v>
      </c>
      <c r="P62" s="46"/>
    </row>
    <row r="63" spans="1:16" s="132" customFormat="1" x14ac:dyDescent="0.25">
      <c r="A63" s="109" t="str">
        <f>IF(G63&lt;&gt;"",1+MAX($A$13:A62),"")</f>
        <v/>
      </c>
      <c r="B63" s="133"/>
      <c r="C63" s="133"/>
      <c r="E63" s="112"/>
      <c r="F63" s="107"/>
      <c r="G63" s="112"/>
      <c r="H63" s="133"/>
      <c r="I63" s="177"/>
      <c r="J63" s="177"/>
      <c r="K63" s="106"/>
      <c r="L63" s="106"/>
      <c r="M63" s="106"/>
      <c r="N63" s="106"/>
      <c r="O63" s="106"/>
      <c r="P63" s="108"/>
    </row>
    <row r="64" spans="1:16" s="132" customFormat="1" x14ac:dyDescent="0.25">
      <c r="A64" s="109" t="str">
        <f>IF(G64&lt;&gt;"",1+MAX($A$13:A63),"")</f>
        <v/>
      </c>
      <c r="B64" s="133"/>
      <c r="C64" s="133"/>
      <c r="D64" s="58" t="s">
        <v>185</v>
      </c>
      <c r="E64" s="112"/>
      <c r="F64" s="107"/>
      <c r="G64" s="112"/>
      <c r="H64" s="133"/>
      <c r="I64" s="110"/>
      <c r="J64" s="111"/>
      <c r="K64" s="106"/>
      <c r="L64" s="106"/>
      <c r="M64" s="106"/>
      <c r="N64" s="106"/>
      <c r="O64" s="106"/>
      <c r="P64" s="108"/>
    </row>
    <row r="65" spans="1:16" x14ac:dyDescent="0.25">
      <c r="A65" s="109">
        <f>IF(G65&lt;&gt;"",1+MAX($A$13:A64),"")</f>
        <v>27</v>
      </c>
      <c r="B65" s="178" t="s">
        <v>379</v>
      </c>
      <c r="C65" s="16" t="s">
        <v>42</v>
      </c>
      <c r="D65" s="113" t="s">
        <v>265</v>
      </c>
      <c r="E65" s="112">
        <v>8</v>
      </c>
      <c r="F65" s="39">
        <f>VLOOKUP(H65,'PROJECT SUMMARY'!$C$26:$D$32,2,0)</f>
        <v>0</v>
      </c>
      <c r="G65" s="31">
        <f t="shared" si="8"/>
        <v>8</v>
      </c>
      <c r="H65" s="82" t="s">
        <v>10</v>
      </c>
      <c r="I65" s="110">
        <v>1.25</v>
      </c>
      <c r="J65" s="111">
        <f t="shared" ref="J65" si="13">I65*G65</f>
        <v>10</v>
      </c>
      <c r="K65" s="106">
        <v>65</v>
      </c>
      <c r="L65" s="106">
        <f t="shared" ref="L65" si="14">K65*J65</f>
        <v>650</v>
      </c>
      <c r="M65" s="106">
        <v>83.28</v>
      </c>
      <c r="N65" s="106">
        <f t="shared" si="11"/>
        <v>666.24</v>
      </c>
      <c r="O65" s="106">
        <f t="shared" si="12"/>
        <v>1316.24</v>
      </c>
      <c r="P65" s="46"/>
    </row>
    <row r="66" spans="1:16" ht="16.5" thickBot="1" x14ac:dyDescent="0.3">
      <c r="A66" s="109" t="str">
        <f>IF(G66&lt;&gt;"",1+MAX($A$13:A65),"")</f>
        <v/>
      </c>
      <c r="H66" s="82"/>
      <c r="P66" s="46"/>
    </row>
    <row r="67" spans="1:16" s="81" customFormat="1" ht="16.5" thickBot="1" x14ac:dyDescent="0.3">
      <c r="A67" s="89" t="str">
        <f>IF(G67&lt;&gt;"",1+MAX($A$13:A66),"")</f>
        <v/>
      </c>
      <c r="B67" s="85"/>
      <c r="C67" s="85" t="s">
        <v>85</v>
      </c>
      <c r="D67" s="83" t="s">
        <v>86</v>
      </c>
      <c r="E67" s="87"/>
      <c r="F67" s="88"/>
      <c r="G67" s="87"/>
      <c r="H67" s="87"/>
      <c r="I67" s="83"/>
      <c r="J67" s="83"/>
      <c r="K67" s="84"/>
      <c r="L67" s="84"/>
      <c r="M67" s="84"/>
      <c r="N67" s="84"/>
      <c r="O67" s="86"/>
      <c r="P67" s="90">
        <f>SUM(O68:O103)</f>
        <v>83416.827252669158</v>
      </c>
    </row>
    <row r="68" spans="1:16" x14ac:dyDescent="0.25">
      <c r="A68" s="109" t="str">
        <f>IF(G68&lt;&gt;"",1+MAX($A$13:A67),"")</f>
        <v/>
      </c>
      <c r="H68" s="82"/>
      <c r="P68" s="46"/>
    </row>
    <row r="69" spans="1:16" x14ac:dyDescent="0.25">
      <c r="A69" s="109" t="str">
        <f>IF(G69&lt;&gt;"",1+MAX($A$13:A68),"")</f>
        <v/>
      </c>
      <c r="D69" s="58" t="s">
        <v>187</v>
      </c>
      <c r="H69" s="82"/>
      <c r="P69" s="46"/>
    </row>
    <row r="70" spans="1:16" x14ac:dyDescent="0.25">
      <c r="A70" s="109">
        <f>IF(G70&lt;&gt;"",1+MAX($A$13:A69),"")</f>
        <v>28</v>
      </c>
      <c r="B70" s="16" t="s">
        <v>381</v>
      </c>
      <c r="C70" s="16" t="s">
        <v>85</v>
      </c>
      <c r="D70" s="113" t="s">
        <v>188</v>
      </c>
      <c r="E70" s="112">
        <f>147.561+(12*8.167)</f>
        <v>245.565</v>
      </c>
      <c r="F70" s="39">
        <f>VLOOKUP(H70,'PROJECT SUMMARY'!$C$26:$D$32,2,0)</f>
        <v>0.05</v>
      </c>
      <c r="G70" s="31">
        <f>E70*(1+F70)</f>
        <v>257.84325000000001</v>
      </c>
      <c r="H70" s="82" t="s">
        <v>11</v>
      </c>
      <c r="I70" s="110">
        <v>6.5000000000000002E-2</v>
      </c>
      <c r="J70" s="111">
        <f t="shared" ref="J70" si="15">I70*G70</f>
        <v>16.759811250000002</v>
      </c>
      <c r="K70" s="106">
        <v>50</v>
      </c>
      <c r="L70" s="106">
        <f t="shared" ref="L70" si="16">K70*J70</f>
        <v>837.99056250000012</v>
      </c>
      <c r="M70" s="106">
        <v>11.3</v>
      </c>
      <c r="N70" s="106">
        <f>M70*G70</f>
        <v>2913.6287250000005</v>
      </c>
      <c r="O70" s="106">
        <f>L70+N70</f>
        <v>3751.6192875000006</v>
      </c>
      <c r="P70" s="46"/>
    </row>
    <row r="71" spans="1:16" s="134" customFormat="1" x14ac:dyDescent="0.25">
      <c r="A71" s="109" t="str">
        <f>IF(G71&lt;&gt;"",1+MAX($A$13:A70),"")</f>
        <v/>
      </c>
      <c r="B71" s="135"/>
      <c r="C71" s="135"/>
      <c r="E71" s="112"/>
      <c r="F71" s="107"/>
      <c r="G71" s="112"/>
      <c r="H71" s="135"/>
      <c r="I71" s="177"/>
      <c r="J71" s="177"/>
      <c r="K71" s="106"/>
      <c r="L71" s="106"/>
      <c r="M71" s="106"/>
      <c r="N71" s="106"/>
      <c r="O71" s="106"/>
      <c r="P71" s="108"/>
    </row>
    <row r="72" spans="1:16" s="134" customFormat="1" x14ac:dyDescent="0.25">
      <c r="A72" s="109" t="str">
        <f>IF(G72&lt;&gt;"",1+MAX($A$13:A71),"")</f>
        <v/>
      </c>
      <c r="B72" s="135"/>
      <c r="C72" s="135"/>
      <c r="D72" s="58" t="s">
        <v>189</v>
      </c>
      <c r="E72" s="112"/>
      <c r="F72" s="107"/>
      <c r="G72" s="112"/>
      <c r="H72" s="135"/>
      <c r="I72" s="177"/>
      <c r="J72" s="177"/>
      <c r="K72" s="106"/>
      <c r="L72" s="106"/>
      <c r="M72" s="106"/>
      <c r="N72" s="106"/>
      <c r="O72" s="106"/>
      <c r="P72" s="108"/>
    </row>
    <row r="73" spans="1:16" s="132" customFormat="1" x14ac:dyDescent="0.25">
      <c r="A73" s="109">
        <f>IF(G73&lt;&gt;"",1+MAX($A$13:A72),"")</f>
        <v>29</v>
      </c>
      <c r="B73" s="178" t="s">
        <v>381</v>
      </c>
      <c r="C73" s="133" t="s">
        <v>85</v>
      </c>
      <c r="D73" s="113" t="s">
        <v>190</v>
      </c>
      <c r="E73" s="112">
        <f>225.43*3</f>
        <v>676.29</v>
      </c>
      <c r="F73" s="107">
        <f>VLOOKUP(H73,'PROJECT SUMMARY'!$C$26:$D$32,2,0)</f>
        <v>0.05</v>
      </c>
      <c r="G73" s="112">
        <f t="shared" ref="G73:G102" si="17">E73*(1+F73)</f>
        <v>710.10450000000003</v>
      </c>
      <c r="H73" s="133" t="s">
        <v>11</v>
      </c>
      <c r="I73" s="110">
        <v>3.7999999999999999E-2</v>
      </c>
      <c r="J73" s="111">
        <f t="shared" ref="J73:J102" si="18">I73*G73</f>
        <v>26.983971</v>
      </c>
      <c r="K73" s="106">
        <v>50</v>
      </c>
      <c r="L73" s="106">
        <f t="shared" ref="L73:L102" si="19">K73*J73</f>
        <v>1349.1985500000001</v>
      </c>
      <c r="M73" s="106">
        <v>1.9</v>
      </c>
      <c r="N73" s="106">
        <f t="shared" ref="N73:N102" si="20">M73*G73</f>
        <v>1349.1985500000001</v>
      </c>
      <c r="O73" s="106">
        <f t="shared" ref="O73:O102" si="21">L73+N73</f>
        <v>2698.3971000000001</v>
      </c>
      <c r="P73" s="108"/>
    </row>
    <row r="74" spans="1:16" s="136" customFormat="1" x14ac:dyDescent="0.25">
      <c r="A74" s="109" t="str">
        <f>IF(G74&lt;&gt;"",1+MAX($A$13:A73),"")</f>
        <v/>
      </c>
      <c r="B74" s="137"/>
      <c r="C74" s="137"/>
      <c r="E74" s="112"/>
      <c r="F74" s="107"/>
      <c r="G74" s="112"/>
      <c r="H74" s="137"/>
      <c r="I74" s="177"/>
      <c r="J74" s="177"/>
      <c r="K74" s="106"/>
      <c r="L74" s="106"/>
      <c r="M74" s="106"/>
      <c r="N74" s="106"/>
      <c r="O74" s="106"/>
      <c r="P74" s="108"/>
    </row>
    <row r="75" spans="1:16" s="136" customFormat="1" x14ac:dyDescent="0.25">
      <c r="A75" s="109" t="str">
        <f>IF(G75&lt;&gt;"",1+MAX($A$13:A74),"")</f>
        <v/>
      </c>
      <c r="B75" s="137"/>
      <c r="C75" s="137"/>
      <c r="D75" s="58" t="s">
        <v>191</v>
      </c>
      <c r="E75" s="112"/>
      <c r="F75" s="107"/>
      <c r="G75" s="112"/>
      <c r="H75" s="137"/>
      <c r="I75" s="177"/>
      <c r="J75" s="177"/>
      <c r="K75" s="106"/>
      <c r="L75" s="106"/>
      <c r="M75" s="106"/>
      <c r="N75" s="106"/>
      <c r="O75" s="106"/>
      <c r="P75" s="108"/>
    </row>
    <row r="76" spans="1:16" s="132" customFormat="1" x14ac:dyDescent="0.25">
      <c r="A76" s="109">
        <f>IF(G76&lt;&gt;"",1+MAX($A$13:A75),"")</f>
        <v>30</v>
      </c>
      <c r="B76" s="178" t="s">
        <v>381</v>
      </c>
      <c r="C76" s="133" t="s">
        <v>85</v>
      </c>
      <c r="D76" s="113" t="s">
        <v>260</v>
      </c>
      <c r="E76" s="112">
        <f>3648.9/1.33</f>
        <v>2743.5338345864661</v>
      </c>
      <c r="F76" s="107">
        <f>VLOOKUP(H76,'PROJECT SUMMARY'!$C$26:$D$32,2,0)</f>
        <v>0</v>
      </c>
      <c r="G76" s="112">
        <f t="shared" si="17"/>
        <v>2743.5338345864661</v>
      </c>
      <c r="H76" s="133" t="s">
        <v>10</v>
      </c>
      <c r="I76" s="110">
        <v>3.7999999999999999E-2</v>
      </c>
      <c r="J76" s="111">
        <f t="shared" si="18"/>
        <v>104.25428571428571</v>
      </c>
      <c r="K76" s="106">
        <v>50</v>
      </c>
      <c r="L76" s="106">
        <f t="shared" si="19"/>
        <v>5212.7142857142853</v>
      </c>
      <c r="M76" s="106">
        <v>4.0041666666666664</v>
      </c>
      <c r="N76" s="106">
        <f t="shared" si="20"/>
        <v>10985.566729323307</v>
      </c>
      <c r="O76" s="106">
        <f t="shared" si="21"/>
        <v>16198.281015037592</v>
      </c>
      <c r="P76" s="108"/>
    </row>
    <row r="77" spans="1:16" s="136" customFormat="1" x14ac:dyDescent="0.25">
      <c r="A77" s="109" t="str">
        <f>IF(G77&lt;&gt;"",1+MAX($A$13:A76),"")</f>
        <v/>
      </c>
      <c r="B77" s="137"/>
      <c r="C77" s="137"/>
      <c r="E77" s="112"/>
      <c r="F77" s="107"/>
      <c r="G77" s="112"/>
      <c r="H77" s="137"/>
      <c r="I77" s="177"/>
      <c r="J77" s="177"/>
      <c r="K77" s="106"/>
      <c r="L77" s="106"/>
      <c r="M77" s="106"/>
      <c r="N77" s="106"/>
      <c r="O77" s="106"/>
      <c r="P77" s="108"/>
    </row>
    <row r="78" spans="1:16" s="136" customFormat="1" x14ac:dyDescent="0.25">
      <c r="A78" s="109" t="str">
        <f>IF(G78&lt;&gt;"",1+MAX($A$13:A77),"")</f>
        <v/>
      </c>
      <c r="B78" s="137"/>
      <c r="C78" s="137"/>
      <c r="D78" s="58" t="s">
        <v>192</v>
      </c>
      <c r="E78" s="112"/>
      <c r="F78" s="107"/>
      <c r="G78" s="112"/>
      <c r="H78" s="137"/>
      <c r="I78" s="177"/>
      <c r="J78" s="177"/>
      <c r="K78" s="106"/>
      <c r="L78" s="106"/>
      <c r="M78" s="106"/>
      <c r="N78" s="106"/>
      <c r="O78" s="106"/>
      <c r="P78" s="108"/>
    </row>
    <row r="79" spans="1:16" s="132" customFormat="1" x14ac:dyDescent="0.25">
      <c r="A79" s="109">
        <f>IF(G79&lt;&gt;"",1+MAX($A$13:A78),"")</f>
        <v>31</v>
      </c>
      <c r="B79" s="133" t="s">
        <v>382</v>
      </c>
      <c r="C79" s="133" t="s">
        <v>85</v>
      </c>
      <c r="D79" s="113" t="s">
        <v>261</v>
      </c>
      <c r="E79" s="112">
        <f>1039.31/1.33</f>
        <v>781.43609022556382</v>
      </c>
      <c r="F79" s="107">
        <f>VLOOKUP(H79,'PROJECT SUMMARY'!$C$26:$D$32,2,0)</f>
        <v>0.05</v>
      </c>
      <c r="G79" s="112">
        <f t="shared" si="17"/>
        <v>820.50789473684199</v>
      </c>
      <c r="H79" s="178" t="s">
        <v>11</v>
      </c>
      <c r="I79" s="110">
        <v>4.4999999999999998E-2</v>
      </c>
      <c r="J79" s="111">
        <f t="shared" si="18"/>
        <v>36.922855263157885</v>
      </c>
      <c r="K79" s="106">
        <v>50</v>
      </c>
      <c r="L79" s="106">
        <f t="shared" si="19"/>
        <v>1846.1427631578943</v>
      </c>
      <c r="M79" s="106">
        <v>9.932500000000001</v>
      </c>
      <c r="N79" s="106">
        <f t="shared" si="20"/>
        <v>8149.6946644736836</v>
      </c>
      <c r="O79" s="106">
        <f t="shared" si="21"/>
        <v>9995.8374276315772</v>
      </c>
      <c r="P79" s="108"/>
    </row>
    <row r="80" spans="1:16" s="136" customFormat="1" x14ac:dyDescent="0.25">
      <c r="A80" s="109" t="str">
        <f>IF(G80&lt;&gt;"",1+MAX($A$13:A79),"")</f>
        <v/>
      </c>
      <c r="B80" s="137"/>
      <c r="C80" s="137"/>
      <c r="E80" s="112"/>
      <c r="F80" s="107"/>
      <c r="G80" s="112"/>
      <c r="H80" s="137"/>
      <c r="I80" s="177"/>
      <c r="J80" s="177"/>
      <c r="K80" s="106"/>
      <c r="L80" s="106"/>
      <c r="M80" s="106"/>
      <c r="N80" s="106"/>
      <c r="O80" s="106"/>
      <c r="P80" s="108"/>
    </row>
    <row r="81" spans="1:16" s="136" customFormat="1" x14ac:dyDescent="0.25">
      <c r="A81" s="109" t="str">
        <f>IF(G81&lt;&gt;"",1+MAX($A$13:A80),"")</f>
        <v/>
      </c>
      <c r="B81" s="137"/>
      <c r="C81" s="137"/>
      <c r="D81" s="58" t="s">
        <v>193</v>
      </c>
      <c r="E81" s="112"/>
      <c r="F81" s="107"/>
      <c r="G81" s="112"/>
      <c r="H81" s="137"/>
      <c r="I81" s="177"/>
      <c r="J81" s="177"/>
      <c r="K81" s="106"/>
      <c r="L81" s="106"/>
      <c r="M81" s="106"/>
      <c r="N81" s="106"/>
      <c r="O81" s="106"/>
      <c r="P81" s="108"/>
    </row>
    <row r="82" spans="1:16" s="132" customFormat="1" x14ac:dyDescent="0.25">
      <c r="A82" s="109">
        <f>IF(G82&lt;&gt;"",1+MAX($A$13:A81),"")</f>
        <v>32</v>
      </c>
      <c r="B82" s="178" t="s">
        <v>381</v>
      </c>
      <c r="C82" s="133" t="s">
        <v>85</v>
      </c>
      <c r="D82" s="113" t="s">
        <v>349</v>
      </c>
      <c r="E82" s="112">
        <f>4086.92/32</f>
        <v>127.71625</v>
      </c>
      <c r="F82" s="107">
        <f>VLOOKUP(H82,'PROJECT SUMMARY'!$C$26:$D$32,2,0)</f>
        <v>0</v>
      </c>
      <c r="G82" s="112">
        <f t="shared" si="17"/>
        <v>127.71625</v>
      </c>
      <c r="H82" s="133" t="s">
        <v>10</v>
      </c>
      <c r="I82" s="110">
        <v>0.44</v>
      </c>
      <c r="J82" s="111">
        <f t="shared" ref="J82:J84" si="22">I82*G82</f>
        <v>56.195149999999998</v>
      </c>
      <c r="K82" s="106">
        <v>50</v>
      </c>
      <c r="L82" s="106">
        <f t="shared" ref="L82:L84" si="23">K82*J82</f>
        <v>2809.7574999999997</v>
      </c>
      <c r="M82" s="106">
        <v>52</v>
      </c>
      <c r="N82" s="106">
        <f t="shared" si="20"/>
        <v>6641.2449999999999</v>
      </c>
      <c r="O82" s="106">
        <f t="shared" si="21"/>
        <v>9451.0024999999987</v>
      </c>
      <c r="P82" s="108"/>
    </row>
    <row r="83" spans="1:16" s="177" customFormat="1" x14ac:dyDescent="0.25">
      <c r="A83" s="109">
        <f>IF(G83&lt;&gt;"",1+MAX($A$13:A82),"")</f>
        <v>33</v>
      </c>
      <c r="B83" s="178" t="s">
        <v>381</v>
      </c>
      <c r="C83" s="178" t="s">
        <v>85</v>
      </c>
      <c r="D83" s="113" t="s">
        <v>377</v>
      </c>
      <c r="E83" s="112">
        <f>1773.73/32</f>
        <v>55.429062500000001</v>
      </c>
      <c r="F83" s="107">
        <f>VLOOKUP(H83,'PROJECT SUMMARY'!$C$26:$D$32,2,0)</f>
        <v>0</v>
      </c>
      <c r="G83" s="112">
        <f t="shared" ref="G83" si="24">E83*(1+F83)</f>
        <v>55.429062500000001</v>
      </c>
      <c r="H83" s="178" t="s">
        <v>10</v>
      </c>
      <c r="I83" s="110">
        <v>0.44</v>
      </c>
      <c r="J83" s="111">
        <f t="shared" ref="J83" si="25">I83*G83</f>
        <v>24.388787499999999</v>
      </c>
      <c r="K83" s="106">
        <v>50</v>
      </c>
      <c r="L83" s="106">
        <f t="shared" ref="L83" si="26">K83*J83</f>
        <v>1219.4393749999999</v>
      </c>
      <c r="M83" s="106">
        <v>52</v>
      </c>
      <c r="N83" s="106">
        <f t="shared" ref="N83" si="27">M83*G83</f>
        <v>2882.3112500000002</v>
      </c>
      <c r="O83" s="106">
        <f t="shared" ref="O83" si="28">L83+N83</f>
        <v>4101.7506250000006</v>
      </c>
      <c r="P83" s="108"/>
    </row>
    <row r="84" spans="1:16" s="177" customFormat="1" x14ac:dyDescent="0.25">
      <c r="A84" s="109">
        <f>IF(G84&lt;&gt;"",1+MAX($A$13:A83),"")</f>
        <v>34</v>
      </c>
      <c r="B84" s="178" t="s">
        <v>381</v>
      </c>
      <c r="C84" s="178" t="s">
        <v>85</v>
      </c>
      <c r="D84" s="113" t="s">
        <v>348</v>
      </c>
      <c r="E84" s="112">
        <f>4657.83/32</f>
        <v>145.5571875</v>
      </c>
      <c r="F84" s="107">
        <f>VLOOKUP(H84,'PROJECT SUMMARY'!$C$26:$D$32,2,0)</f>
        <v>0</v>
      </c>
      <c r="G84" s="112">
        <f t="shared" ref="G84" si="29">E84*(1+F84)</f>
        <v>145.5571875</v>
      </c>
      <c r="H84" s="178" t="s">
        <v>10</v>
      </c>
      <c r="I84" s="110">
        <v>0.42</v>
      </c>
      <c r="J84" s="111">
        <f t="shared" si="22"/>
        <v>61.134018749999996</v>
      </c>
      <c r="K84" s="106">
        <v>50</v>
      </c>
      <c r="L84" s="106">
        <f t="shared" si="23"/>
        <v>3056.7009374999998</v>
      </c>
      <c r="M84" s="106">
        <v>31</v>
      </c>
      <c r="N84" s="106">
        <f t="shared" si="20"/>
        <v>4512.2728125000003</v>
      </c>
      <c r="O84" s="106">
        <f t="shared" si="21"/>
        <v>7568.9737500000001</v>
      </c>
      <c r="P84" s="108"/>
    </row>
    <row r="85" spans="1:16" s="147" customFormat="1" x14ac:dyDescent="0.25">
      <c r="A85" s="109" t="str">
        <f>IF(G85&lt;&gt;"",1+MAX($A$13:A84),"")</f>
        <v/>
      </c>
      <c r="B85" s="148"/>
      <c r="C85" s="148"/>
      <c r="E85" s="112"/>
      <c r="F85" s="107"/>
      <c r="G85" s="112"/>
      <c r="H85" s="148"/>
      <c r="I85" s="177"/>
      <c r="J85" s="177"/>
      <c r="K85" s="106"/>
      <c r="L85" s="106"/>
      <c r="M85" s="106"/>
      <c r="N85" s="106"/>
      <c r="O85" s="106"/>
      <c r="P85" s="108"/>
    </row>
    <row r="86" spans="1:16" s="147" customFormat="1" x14ac:dyDescent="0.25">
      <c r="A86" s="109" t="str">
        <f>IF(G86&lt;&gt;"",1+MAX($A$13:A85),"")</f>
        <v/>
      </c>
      <c r="B86" s="148"/>
      <c r="C86" s="148"/>
      <c r="D86" s="58" t="s">
        <v>214</v>
      </c>
      <c r="E86" s="112"/>
      <c r="F86" s="107"/>
      <c r="G86" s="112"/>
      <c r="H86" s="148"/>
      <c r="I86" s="177"/>
      <c r="J86" s="177"/>
      <c r="K86" s="106"/>
      <c r="L86" s="106"/>
      <c r="M86" s="106"/>
      <c r="N86" s="106"/>
      <c r="O86" s="106"/>
      <c r="P86" s="108"/>
    </row>
    <row r="87" spans="1:16" s="132" customFormat="1" ht="31.5" x14ac:dyDescent="0.25">
      <c r="A87" s="109">
        <f>IF(G87&lt;&gt;"",1+MAX($A$13:A86),"")</f>
        <v>35</v>
      </c>
      <c r="B87" s="133" t="s">
        <v>383</v>
      </c>
      <c r="C87" s="133" t="s">
        <v>85</v>
      </c>
      <c r="D87" s="113" t="s">
        <v>276</v>
      </c>
      <c r="E87" s="112">
        <v>223.34</v>
      </c>
      <c r="F87" s="107">
        <f>VLOOKUP(H87,'PROJECT SUMMARY'!$C$26:$D$32,2,0)</f>
        <v>0.05</v>
      </c>
      <c r="G87" s="112">
        <f t="shared" si="17"/>
        <v>234.50700000000001</v>
      </c>
      <c r="H87" s="133" t="s">
        <v>11</v>
      </c>
      <c r="I87" s="110">
        <v>4.8000000000000001E-2</v>
      </c>
      <c r="J87" s="111">
        <f t="shared" si="18"/>
        <v>11.256336000000001</v>
      </c>
      <c r="K87" s="106">
        <v>50</v>
      </c>
      <c r="L87" s="106">
        <f t="shared" si="19"/>
        <v>562.81680000000006</v>
      </c>
      <c r="M87" s="106">
        <v>13.349166666666667</v>
      </c>
      <c r="N87" s="106">
        <f t="shared" si="20"/>
        <v>3130.4730275000002</v>
      </c>
      <c r="O87" s="106">
        <f t="shared" si="21"/>
        <v>3693.2898275000002</v>
      </c>
      <c r="P87" s="108"/>
    </row>
    <row r="88" spans="1:16" s="132" customFormat="1" ht="31.5" x14ac:dyDescent="0.25">
      <c r="A88" s="109">
        <f>IF(G88&lt;&gt;"",1+MAX($A$13:A87),"")</f>
        <v>36</v>
      </c>
      <c r="B88" s="178" t="s">
        <v>383</v>
      </c>
      <c r="C88" s="133" t="s">
        <v>85</v>
      </c>
      <c r="D88" s="113" t="s">
        <v>277</v>
      </c>
      <c r="E88" s="112">
        <v>103.47</v>
      </c>
      <c r="F88" s="107">
        <f>VLOOKUP(H88,'PROJECT SUMMARY'!$C$26:$D$32,2,0)</f>
        <v>0.05</v>
      </c>
      <c r="G88" s="112">
        <f t="shared" si="17"/>
        <v>108.6435</v>
      </c>
      <c r="H88" s="149" t="s">
        <v>11</v>
      </c>
      <c r="I88" s="110">
        <v>4.2000000000000003E-2</v>
      </c>
      <c r="J88" s="111">
        <f t="shared" si="18"/>
        <v>4.5630270000000008</v>
      </c>
      <c r="K88" s="106">
        <v>50</v>
      </c>
      <c r="L88" s="106">
        <f t="shared" si="19"/>
        <v>228.15135000000004</v>
      </c>
      <c r="M88" s="106">
        <v>2.77</v>
      </c>
      <c r="N88" s="106">
        <f t="shared" si="20"/>
        <v>300.94249500000001</v>
      </c>
      <c r="O88" s="106">
        <f t="shared" si="21"/>
        <v>529.0938450000001</v>
      </c>
      <c r="P88" s="108"/>
    </row>
    <row r="89" spans="1:16" s="132" customFormat="1" ht="31.5" x14ac:dyDescent="0.25">
      <c r="A89" s="109">
        <f>IF(G89&lt;&gt;"",1+MAX($A$13:A88),"")</f>
        <v>37</v>
      </c>
      <c r="B89" s="178" t="s">
        <v>383</v>
      </c>
      <c r="C89" s="133" t="s">
        <v>85</v>
      </c>
      <c r="D89" s="113" t="s">
        <v>275</v>
      </c>
      <c r="E89" s="112">
        <v>537.35</v>
      </c>
      <c r="F89" s="107">
        <f>VLOOKUP(H89,'PROJECT SUMMARY'!$C$26:$D$32,2,0)</f>
        <v>0.05</v>
      </c>
      <c r="G89" s="112">
        <f t="shared" si="17"/>
        <v>564.21750000000009</v>
      </c>
      <c r="H89" s="149" t="s">
        <v>11</v>
      </c>
      <c r="I89" s="110">
        <v>0.04</v>
      </c>
      <c r="J89" s="111">
        <f t="shared" si="18"/>
        <v>22.568700000000003</v>
      </c>
      <c r="K89" s="106">
        <v>50</v>
      </c>
      <c r="L89" s="106">
        <f t="shared" si="19"/>
        <v>1128.4350000000002</v>
      </c>
      <c r="M89" s="106">
        <v>2.35</v>
      </c>
      <c r="N89" s="106">
        <f t="shared" si="20"/>
        <v>1325.9111250000003</v>
      </c>
      <c r="O89" s="106">
        <f t="shared" si="21"/>
        <v>2454.3461250000005</v>
      </c>
      <c r="P89" s="108"/>
    </row>
    <row r="90" spans="1:16" s="136" customFormat="1" x14ac:dyDescent="0.25">
      <c r="A90" s="109" t="str">
        <f>IF(G90&lt;&gt;"",1+MAX($A$13:A89),"")</f>
        <v/>
      </c>
      <c r="B90" s="137"/>
      <c r="C90" s="137"/>
      <c r="E90" s="112"/>
      <c r="F90" s="107"/>
      <c r="G90" s="112"/>
      <c r="H90" s="137"/>
      <c r="I90" s="177"/>
      <c r="J90" s="177"/>
      <c r="K90" s="106"/>
      <c r="L90" s="106"/>
      <c r="M90" s="106"/>
      <c r="N90" s="106"/>
      <c r="O90" s="106"/>
      <c r="P90" s="108"/>
    </row>
    <row r="91" spans="1:16" s="136" customFormat="1" x14ac:dyDescent="0.25">
      <c r="A91" s="109" t="str">
        <f>IF(G91&lt;&gt;"",1+MAX($A$13:A90),"")</f>
        <v/>
      </c>
      <c r="B91" s="137"/>
      <c r="C91" s="137"/>
      <c r="D91" s="58" t="s">
        <v>194</v>
      </c>
      <c r="E91" s="112"/>
      <c r="F91" s="107"/>
      <c r="G91" s="112"/>
      <c r="H91" s="137"/>
      <c r="I91" s="177"/>
      <c r="J91" s="177"/>
      <c r="K91" s="106"/>
      <c r="L91" s="106"/>
      <c r="M91" s="106"/>
      <c r="N91" s="106"/>
      <c r="O91" s="106"/>
      <c r="P91" s="108"/>
    </row>
    <row r="92" spans="1:16" s="132" customFormat="1" x14ac:dyDescent="0.25">
      <c r="A92" s="109">
        <f>IF(G92&lt;&gt;"",1+MAX($A$13:A91),"")</f>
        <v>38</v>
      </c>
      <c r="B92" s="133" t="s">
        <v>387</v>
      </c>
      <c r="C92" s="133" t="s">
        <v>85</v>
      </c>
      <c r="D92" s="113" t="s">
        <v>196</v>
      </c>
      <c r="E92" s="112">
        <v>31.27</v>
      </c>
      <c r="F92" s="107">
        <f>VLOOKUP(H92,'PROJECT SUMMARY'!$C$26:$D$32,2,0)</f>
        <v>0.05</v>
      </c>
      <c r="G92" s="112">
        <f t="shared" si="17"/>
        <v>32.833500000000001</v>
      </c>
      <c r="H92" s="133" t="s">
        <v>11</v>
      </c>
      <c r="I92" s="110">
        <v>0.8</v>
      </c>
      <c r="J92" s="111">
        <f t="shared" ref="J92:J93" si="30">I92*G92</f>
        <v>26.266800000000003</v>
      </c>
      <c r="K92" s="106">
        <v>65</v>
      </c>
      <c r="L92" s="106">
        <f t="shared" ref="L92:L93" si="31">K92*J92</f>
        <v>1707.3420000000003</v>
      </c>
      <c r="M92" s="106">
        <v>46</v>
      </c>
      <c r="N92" s="106">
        <f t="shared" si="20"/>
        <v>1510.3410000000001</v>
      </c>
      <c r="O92" s="106">
        <f t="shared" si="21"/>
        <v>3217.6830000000004</v>
      </c>
      <c r="P92" s="108"/>
    </row>
    <row r="93" spans="1:16" s="132" customFormat="1" x14ac:dyDescent="0.25">
      <c r="A93" s="109">
        <f>IF(G93&lt;&gt;"",1+MAX($A$13:A92),"")</f>
        <v>39</v>
      </c>
      <c r="B93" s="178" t="s">
        <v>387</v>
      </c>
      <c r="C93" s="133" t="s">
        <v>85</v>
      </c>
      <c r="D93" s="113" t="s">
        <v>197</v>
      </c>
      <c r="E93" s="112">
        <v>40.32</v>
      </c>
      <c r="F93" s="107">
        <f>VLOOKUP(H93,'PROJECT SUMMARY'!$C$26:$D$32,2,0)</f>
        <v>0.05</v>
      </c>
      <c r="G93" s="112">
        <f t="shared" si="17"/>
        <v>42.336000000000006</v>
      </c>
      <c r="H93" s="139" t="s">
        <v>11</v>
      </c>
      <c r="I93" s="110">
        <v>0.8</v>
      </c>
      <c r="J93" s="111">
        <f t="shared" si="30"/>
        <v>33.868800000000007</v>
      </c>
      <c r="K93" s="106">
        <v>65</v>
      </c>
      <c r="L93" s="106">
        <f t="shared" si="31"/>
        <v>2201.4720000000007</v>
      </c>
      <c r="M93" s="106">
        <v>52</v>
      </c>
      <c r="N93" s="106">
        <f t="shared" si="20"/>
        <v>2201.4720000000002</v>
      </c>
      <c r="O93" s="106">
        <f t="shared" si="21"/>
        <v>4402.9440000000013</v>
      </c>
      <c r="P93" s="108"/>
    </row>
    <row r="94" spans="1:16" s="132" customFormat="1" x14ac:dyDescent="0.25">
      <c r="A94" s="109" t="str">
        <f>IF(G94&lt;&gt;"",1+MAX($A$13:A93),"")</f>
        <v/>
      </c>
      <c r="B94" s="133"/>
      <c r="C94" s="133"/>
      <c r="D94" s="113" t="s">
        <v>76</v>
      </c>
      <c r="E94" s="112"/>
      <c r="F94" s="107"/>
      <c r="G94" s="112"/>
      <c r="H94" s="133"/>
      <c r="I94" s="110"/>
      <c r="J94" s="111"/>
      <c r="K94" s="106"/>
      <c r="L94" s="106"/>
      <c r="M94" s="106"/>
      <c r="N94" s="106"/>
      <c r="O94" s="106"/>
      <c r="P94" s="108"/>
    </row>
    <row r="95" spans="1:16" s="136" customFormat="1" x14ac:dyDescent="0.25">
      <c r="A95" s="109" t="str">
        <f>IF(G95&lt;&gt;"",1+MAX($A$13:A94),"")</f>
        <v/>
      </c>
      <c r="B95" s="137"/>
      <c r="C95" s="137"/>
      <c r="E95" s="112"/>
      <c r="F95" s="107"/>
      <c r="G95" s="112"/>
      <c r="H95" s="137"/>
      <c r="I95" s="177"/>
      <c r="J95" s="177"/>
      <c r="K95" s="106"/>
      <c r="L95" s="106"/>
      <c r="M95" s="106"/>
      <c r="N95" s="106"/>
      <c r="O95" s="106"/>
      <c r="P95" s="108"/>
    </row>
    <row r="96" spans="1:16" s="136" customFormat="1" x14ac:dyDescent="0.25">
      <c r="A96" s="109" t="str">
        <f>IF(G96&lt;&gt;"",1+MAX($A$13:A95),"")</f>
        <v/>
      </c>
      <c r="B96" s="137"/>
      <c r="C96" s="137"/>
      <c r="D96" s="58" t="s">
        <v>195</v>
      </c>
      <c r="E96" s="112"/>
      <c r="F96" s="107"/>
      <c r="G96" s="112"/>
      <c r="H96" s="137"/>
      <c r="I96" s="177"/>
      <c r="J96" s="177"/>
      <c r="K96" s="106"/>
      <c r="L96" s="106"/>
      <c r="M96" s="106"/>
      <c r="N96" s="106"/>
      <c r="O96" s="106"/>
      <c r="P96" s="108"/>
    </row>
    <row r="97" spans="1:16" s="132" customFormat="1" x14ac:dyDescent="0.25">
      <c r="A97" s="109">
        <f>IF(G97&lt;&gt;"",1+MAX($A$13:A96),"")</f>
        <v>40</v>
      </c>
      <c r="B97" s="133" t="s">
        <v>385</v>
      </c>
      <c r="C97" s="133" t="s">
        <v>85</v>
      </c>
      <c r="D97" s="113" t="s">
        <v>384</v>
      </c>
      <c r="E97" s="112">
        <v>76.680000000000007</v>
      </c>
      <c r="F97" s="107">
        <f>VLOOKUP(H97,'PROJECT SUMMARY'!$C$26:$D$32,2,0)</f>
        <v>0.05</v>
      </c>
      <c r="G97" s="112">
        <f t="shared" si="17"/>
        <v>80.51400000000001</v>
      </c>
      <c r="H97" s="139" t="s">
        <v>11</v>
      </c>
      <c r="I97" s="110">
        <v>0.32500000000000001</v>
      </c>
      <c r="J97" s="111">
        <f t="shared" si="18"/>
        <v>26.167050000000003</v>
      </c>
      <c r="K97" s="106">
        <v>65</v>
      </c>
      <c r="L97" s="106">
        <f t="shared" si="19"/>
        <v>1700.8582500000002</v>
      </c>
      <c r="M97" s="106">
        <v>18.25</v>
      </c>
      <c r="N97" s="106">
        <f t="shared" si="20"/>
        <v>1469.3805000000002</v>
      </c>
      <c r="O97" s="106">
        <f t="shared" si="21"/>
        <v>3170.2387500000004</v>
      </c>
      <c r="P97" s="108"/>
    </row>
    <row r="98" spans="1:16" s="132" customFormat="1" x14ac:dyDescent="0.25">
      <c r="A98" s="109">
        <f>IF(G98&lt;&gt;"",1+MAX($A$13:A97),"")</f>
        <v>41</v>
      </c>
      <c r="B98" s="133" t="s">
        <v>386</v>
      </c>
      <c r="C98" s="133" t="s">
        <v>85</v>
      </c>
      <c r="D98" s="113" t="s">
        <v>239</v>
      </c>
      <c r="E98" s="112">
        <v>34.520000000000003</v>
      </c>
      <c r="F98" s="107">
        <f>VLOOKUP(H98,'PROJECT SUMMARY'!$C$26:$D$32,2,0)</f>
        <v>0</v>
      </c>
      <c r="G98" s="112">
        <f t="shared" si="17"/>
        <v>34.520000000000003</v>
      </c>
      <c r="H98" s="133" t="s">
        <v>10</v>
      </c>
      <c r="I98" s="110">
        <v>0.85</v>
      </c>
      <c r="J98" s="111">
        <f t="shared" si="18"/>
        <v>29.342000000000002</v>
      </c>
      <c r="K98" s="106">
        <v>65</v>
      </c>
      <c r="L98" s="106">
        <f t="shared" si="19"/>
        <v>1907.2300000000002</v>
      </c>
      <c r="M98" s="106">
        <v>55</v>
      </c>
      <c r="N98" s="106">
        <f t="shared" si="20"/>
        <v>1898.6000000000001</v>
      </c>
      <c r="O98" s="106">
        <f t="shared" si="21"/>
        <v>3805.8300000000004</v>
      </c>
      <c r="P98" s="108"/>
    </row>
    <row r="99" spans="1:16" s="138" customFormat="1" x14ac:dyDescent="0.25">
      <c r="A99" s="109" t="str">
        <f>IF(G99&lt;&gt;"",1+MAX($A$13:A98),"")</f>
        <v/>
      </c>
      <c r="B99" s="139"/>
      <c r="C99" s="139"/>
      <c r="D99" s="113"/>
      <c r="E99" s="112"/>
      <c r="F99" s="107"/>
      <c r="G99" s="112"/>
      <c r="H99" s="139"/>
      <c r="I99" s="177"/>
      <c r="J99" s="177"/>
      <c r="K99" s="106"/>
      <c r="L99" s="106"/>
      <c r="M99" s="106"/>
      <c r="N99" s="106"/>
      <c r="O99" s="106"/>
      <c r="P99" s="108"/>
    </row>
    <row r="100" spans="1:16" s="138" customFormat="1" x14ac:dyDescent="0.25">
      <c r="A100" s="109" t="str">
        <f>IF(G100&lt;&gt;"",1+MAX($A$13:A99),"")</f>
        <v/>
      </c>
      <c r="B100" s="139"/>
      <c r="C100" s="139"/>
      <c r="D100" s="58" t="s">
        <v>198</v>
      </c>
      <c r="E100" s="112"/>
      <c r="F100" s="107"/>
      <c r="G100" s="112"/>
      <c r="H100" s="139"/>
      <c r="I100" s="177"/>
      <c r="J100" s="177"/>
      <c r="K100" s="106"/>
      <c r="L100" s="106"/>
      <c r="M100" s="106"/>
      <c r="N100" s="106"/>
      <c r="O100" s="106"/>
      <c r="P100" s="108"/>
    </row>
    <row r="101" spans="1:16" s="132" customFormat="1" x14ac:dyDescent="0.25">
      <c r="A101" s="109">
        <f>IF(G101&lt;&gt;"",1+MAX($A$13:A100),"")</f>
        <v>42</v>
      </c>
      <c r="B101" s="133" t="s">
        <v>380</v>
      </c>
      <c r="C101" s="133" t="s">
        <v>85</v>
      </c>
      <c r="D101" s="113" t="s">
        <v>388</v>
      </c>
      <c r="E101" s="112">
        <f>18*2</f>
        <v>36</v>
      </c>
      <c r="F101" s="107">
        <f>VLOOKUP(H101,'PROJECT SUMMARY'!$C$26:$D$32,2,0)</f>
        <v>0</v>
      </c>
      <c r="G101" s="112">
        <f t="shared" si="17"/>
        <v>36</v>
      </c>
      <c r="H101" s="133" t="s">
        <v>10</v>
      </c>
      <c r="I101" s="110">
        <v>1.25</v>
      </c>
      <c r="J101" s="111">
        <f t="shared" si="18"/>
        <v>45</v>
      </c>
      <c r="K101" s="106">
        <v>65</v>
      </c>
      <c r="L101" s="106">
        <f t="shared" si="19"/>
        <v>2925</v>
      </c>
      <c r="M101" s="106">
        <v>35</v>
      </c>
      <c r="N101" s="106">
        <f t="shared" si="20"/>
        <v>1260</v>
      </c>
      <c r="O101" s="106">
        <f t="shared" si="21"/>
        <v>4185</v>
      </c>
      <c r="P101" s="108"/>
    </row>
    <row r="102" spans="1:16" s="132" customFormat="1" x14ac:dyDescent="0.25">
      <c r="A102" s="109">
        <f>IF(G102&lt;&gt;"",1+MAX($A$13:A101),"")</f>
        <v>43</v>
      </c>
      <c r="B102" s="178" t="s">
        <v>380</v>
      </c>
      <c r="C102" s="133" t="s">
        <v>85</v>
      </c>
      <c r="D102" s="113" t="s">
        <v>389</v>
      </c>
      <c r="E102" s="112">
        <f>19*2</f>
        <v>38</v>
      </c>
      <c r="F102" s="107">
        <f>VLOOKUP(H102,'PROJECT SUMMARY'!$C$26:$D$32,2,0)</f>
        <v>0</v>
      </c>
      <c r="G102" s="112">
        <f t="shared" si="17"/>
        <v>38</v>
      </c>
      <c r="H102" s="133" t="s">
        <v>10</v>
      </c>
      <c r="I102" s="110">
        <v>1.2</v>
      </c>
      <c r="J102" s="111">
        <f t="shared" si="18"/>
        <v>45.6</v>
      </c>
      <c r="K102" s="106">
        <v>65</v>
      </c>
      <c r="L102" s="106">
        <f t="shared" si="19"/>
        <v>2964</v>
      </c>
      <c r="M102" s="106">
        <v>32.33</v>
      </c>
      <c r="N102" s="106">
        <f t="shared" si="20"/>
        <v>1228.54</v>
      </c>
      <c r="O102" s="106">
        <f t="shared" si="21"/>
        <v>4192.54</v>
      </c>
      <c r="P102" s="108"/>
    </row>
    <row r="103" spans="1:16" s="140" customFormat="1" ht="16.5" thickBot="1" x14ac:dyDescent="0.3">
      <c r="A103" s="109" t="str">
        <f>IF(G103&lt;&gt;"",1+MAX($A$13:A102),"")</f>
        <v/>
      </c>
      <c r="B103" s="141"/>
      <c r="C103" s="141"/>
      <c r="E103" s="112"/>
      <c r="F103" s="107"/>
      <c r="G103" s="112"/>
      <c r="H103" s="141"/>
      <c r="K103" s="106"/>
      <c r="L103" s="106"/>
      <c r="M103" s="106"/>
      <c r="N103" s="106"/>
      <c r="O103" s="106"/>
      <c r="P103" s="108"/>
    </row>
    <row r="104" spans="1:16" s="140" customFormat="1" ht="16.5" thickBot="1" x14ac:dyDescent="0.3">
      <c r="A104" s="89" t="str">
        <f>IF(G104&lt;&gt;"",1+MAX($A$13:A103),"")</f>
        <v/>
      </c>
      <c r="B104" s="85"/>
      <c r="C104" s="85" t="s">
        <v>199</v>
      </c>
      <c r="D104" s="83" t="s">
        <v>200</v>
      </c>
      <c r="E104" s="87"/>
      <c r="F104" s="88"/>
      <c r="G104" s="87"/>
      <c r="H104" s="87"/>
      <c r="I104" s="83"/>
      <c r="J104" s="83"/>
      <c r="K104" s="84"/>
      <c r="L104" s="84"/>
      <c r="M104" s="84"/>
      <c r="N104" s="84"/>
      <c r="O104" s="86"/>
      <c r="P104" s="90">
        <f>SUM(O105:O141)</f>
        <v>84866.165286727279</v>
      </c>
    </row>
    <row r="105" spans="1:16" s="140" customFormat="1" x14ac:dyDescent="0.25">
      <c r="A105" s="109" t="str">
        <f>IF(G105&lt;&gt;"",1+MAX($A$13:A104),"")</f>
        <v/>
      </c>
      <c r="B105" s="141"/>
      <c r="C105" s="141"/>
      <c r="E105" s="112"/>
      <c r="F105" s="107"/>
      <c r="G105" s="112"/>
      <c r="H105" s="141"/>
      <c r="K105" s="106"/>
      <c r="L105" s="106"/>
      <c r="M105" s="106"/>
      <c r="N105" s="106"/>
      <c r="O105" s="106"/>
      <c r="P105" s="108"/>
    </row>
    <row r="106" spans="1:16" s="140" customFormat="1" x14ac:dyDescent="0.25">
      <c r="A106" s="109" t="str">
        <f>IF(G106&lt;&gt;"",1+MAX($A$13:A105),"")</f>
        <v/>
      </c>
      <c r="B106" s="141"/>
      <c r="C106" s="141"/>
      <c r="D106" s="58" t="s">
        <v>201</v>
      </c>
      <c r="E106" s="112"/>
      <c r="F106" s="107"/>
      <c r="G106" s="112"/>
      <c r="H106" s="141"/>
      <c r="K106" s="106"/>
      <c r="L106" s="106"/>
      <c r="M106" s="106"/>
      <c r="N106" s="106"/>
      <c r="O106" s="106"/>
      <c r="P106" s="108"/>
    </row>
    <row r="107" spans="1:16" s="140" customFormat="1" x14ac:dyDescent="0.25">
      <c r="A107" s="109">
        <f>IF(G107&lt;&gt;"",1+MAX($A$13:A106),"")</f>
        <v>44</v>
      </c>
      <c r="B107" s="141" t="s">
        <v>390</v>
      </c>
      <c r="C107" s="141" t="s">
        <v>199</v>
      </c>
      <c r="D107" s="113" t="s">
        <v>215</v>
      </c>
      <c r="E107" s="112">
        <v>1840.72</v>
      </c>
      <c r="F107" s="107">
        <f>VLOOKUP(H107,'PROJECT SUMMARY'!$C$26:$D$32,2,0)</f>
        <v>0.05</v>
      </c>
      <c r="G107" s="112">
        <f>E107*(1+F107)</f>
        <v>1932.7560000000001</v>
      </c>
      <c r="H107" s="141" t="s">
        <v>12</v>
      </c>
      <c r="I107" s="110">
        <v>0.08</v>
      </c>
      <c r="J107" s="111">
        <f>I107*G107</f>
        <v>154.62048000000001</v>
      </c>
      <c r="K107" s="106">
        <v>58</v>
      </c>
      <c r="L107" s="106">
        <f>K107*J107</f>
        <v>8967.9878400000016</v>
      </c>
      <c r="M107" s="106">
        <v>4.2</v>
      </c>
      <c r="N107" s="106">
        <f>M107*G107</f>
        <v>8117.5752000000011</v>
      </c>
      <c r="O107" s="106">
        <f>L107+N107</f>
        <v>17085.563040000001</v>
      </c>
      <c r="P107" s="108"/>
    </row>
    <row r="108" spans="1:16" s="143" customFormat="1" x14ac:dyDescent="0.25">
      <c r="A108" s="109">
        <f>IF(G108&lt;&gt;"",1+MAX($A$13:A107),"")</f>
        <v>45</v>
      </c>
      <c r="B108" s="178" t="s">
        <v>390</v>
      </c>
      <c r="C108" s="144" t="s">
        <v>199</v>
      </c>
      <c r="D108" s="113" t="s">
        <v>405</v>
      </c>
      <c r="E108" s="112">
        <v>952.44</v>
      </c>
      <c r="F108" s="107">
        <f>VLOOKUP(H108,'PROJECT SUMMARY'!$C$26:$D$32,2,0)</f>
        <v>0.05</v>
      </c>
      <c r="G108" s="112">
        <f t="shared" ref="G108:G117" si="32">E108*(1+F108)</f>
        <v>1000.0620000000001</v>
      </c>
      <c r="H108" s="144" t="s">
        <v>12</v>
      </c>
      <c r="I108" s="110">
        <v>2.8000000000000001E-2</v>
      </c>
      <c r="J108" s="111">
        <f t="shared" ref="J108:J119" si="33">I108*G108</f>
        <v>28.001736000000005</v>
      </c>
      <c r="K108" s="106">
        <v>58</v>
      </c>
      <c r="L108" s="106">
        <f t="shared" ref="L108:L119" si="34">K108*J108</f>
        <v>1624.1006880000002</v>
      </c>
      <c r="M108" s="106">
        <v>0.89</v>
      </c>
      <c r="N108" s="106">
        <f t="shared" ref="N108:N119" si="35">M108*G108</f>
        <v>890.05518000000018</v>
      </c>
      <c r="O108" s="106">
        <f t="shared" ref="O108:O119" si="36">L108+N108</f>
        <v>2514.1558680000003</v>
      </c>
      <c r="P108" s="108"/>
    </row>
    <row r="109" spans="1:16" s="143" customFormat="1" x14ac:dyDescent="0.25">
      <c r="A109" s="109">
        <f>IF(G109&lt;&gt;"",1+MAX($A$13:A108),"")</f>
        <v>46</v>
      </c>
      <c r="B109" s="178" t="s">
        <v>390</v>
      </c>
      <c r="C109" s="144" t="s">
        <v>199</v>
      </c>
      <c r="D109" s="113" t="s">
        <v>406</v>
      </c>
      <c r="E109" s="112">
        <v>1039.31</v>
      </c>
      <c r="F109" s="107">
        <f>VLOOKUP(H109,'PROJECT SUMMARY'!$C$26:$D$32,2,0)</f>
        <v>0.05</v>
      </c>
      <c r="G109" s="112">
        <f t="shared" si="32"/>
        <v>1091.2755</v>
      </c>
      <c r="H109" s="144" t="s">
        <v>12</v>
      </c>
      <c r="I109" s="110">
        <v>2.413793103448276E-3</v>
      </c>
      <c r="J109" s="111">
        <f t="shared" si="33"/>
        <v>2.6341132758620689</v>
      </c>
      <c r="K109" s="106">
        <v>58</v>
      </c>
      <c r="L109" s="106">
        <f t="shared" si="34"/>
        <v>152.77857</v>
      </c>
      <c r="M109" s="106">
        <v>0.44</v>
      </c>
      <c r="N109" s="106">
        <f t="shared" si="35"/>
        <v>480.16122000000001</v>
      </c>
      <c r="O109" s="106">
        <f t="shared" si="36"/>
        <v>632.93979000000002</v>
      </c>
      <c r="P109" s="108"/>
    </row>
    <row r="110" spans="1:16" s="143" customFormat="1" x14ac:dyDescent="0.25">
      <c r="A110" s="109">
        <f>IF(G110&lt;&gt;"",1+MAX($A$13:A109),"")</f>
        <v>47</v>
      </c>
      <c r="B110" s="178" t="s">
        <v>390</v>
      </c>
      <c r="C110" s="144" t="s">
        <v>199</v>
      </c>
      <c r="D110" s="113" t="s">
        <v>263</v>
      </c>
      <c r="E110" s="112">
        <v>952.44</v>
      </c>
      <c r="F110" s="107">
        <f>VLOOKUP(H110,'PROJECT SUMMARY'!$C$26:$D$32,2,0)</f>
        <v>0.05</v>
      </c>
      <c r="G110" s="112">
        <f t="shared" si="32"/>
        <v>1000.0620000000001</v>
      </c>
      <c r="H110" s="144" t="s">
        <v>12</v>
      </c>
      <c r="I110" s="110">
        <v>5.0000000000000001E-3</v>
      </c>
      <c r="J110" s="111">
        <f t="shared" si="33"/>
        <v>5.0003100000000007</v>
      </c>
      <c r="K110" s="106">
        <v>58</v>
      </c>
      <c r="L110" s="106">
        <f t="shared" si="34"/>
        <v>290.01798000000002</v>
      </c>
      <c r="M110" s="106">
        <v>0.7</v>
      </c>
      <c r="N110" s="106">
        <f t="shared" si="35"/>
        <v>700.04340000000002</v>
      </c>
      <c r="O110" s="106">
        <f t="shared" si="36"/>
        <v>990.0613800000001</v>
      </c>
      <c r="P110" s="108"/>
    </row>
    <row r="111" spans="1:16" s="143" customFormat="1" x14ac:dyDescent="0.25">
      <c r="A111" s="109">
        <f>IF(G111&lt;&gt;"",1+MAX($A$13:A110),"")</f>
        <v>48</v>
      </c>
      <c r="B111" s="178" t="s">
        <v>390</v>
      </c>
      <c r="C111" s="144" t="s">
        <v>199</v>
      </c>
      <c r="D111" s="113" t="s">
        <v>264</v>
      </c>
      <c r="E111" s="112">
        <v>952.44</v>
      </c>
      <c r="F111" s="107">
        <f>VLOOKUP(H111,'PROJECT SUMMARY'!$C$26:$D$32,2,0)</f>
        <v>0.05</v>
      </c>
      <c r="G111" s="112">
        <f t="shared" si="32"/>
        <v>1000.0620000000001</v>
      </c>
      <c r="H111" s="144" t="s">
        <v>12</v>
      </c>
      <c r="I111" s="110">
        <v>2.5000000000000001E-2</v>
      </c>
      <c r="J111" s="111">
        <f t="shared" si="33"/>
        <v>25.001550000000005</v>
      </c>
      <c r="K111" s="106">
        <v>58</v>
      </c>
      <c r="L111" s="106">
        <f t="shared" si="34"/>
        <v>1450.0899000000004</v>
      </c>
      <c r="M111" s="106">
        <v>3.5</v>
      </c>
      <c r="N111" s="106">
        <f t="shared" si="35"/>
        <v>3500.2170000000006</v>
      </c>
      <c r="O111" s="106">
        <f t="shared" si="36"/>
        <v>4950.3069000000014</v>
      </c>
      <c r="P111" s="108"/>
    </row>
    <row r="112" spans="1:16" s="143" customFormat="1" x14ac:dyDescent="0.25">
      <c r="A112" s="109" t="str">
        <f>IF(G112&lt;&gt;"",1+MAX($A$13:A111),"")</f>
        <v/>
      </c>
      <c r="B112" s="144"/>
      <c r="C112" s="144"/>
      <c r="D112" s="113"/>
      <c r="E112" s="112"/>
      <c r="F112" s="107"/>
      <c r="G112" s="112"/>
      <c r="H112" s="144"/>
      <c r="I112" s="110"/>
      <c r="J112" s="111"/>
      <c r="K112" s="106"/>
      <c r="L112" s="106"/>
      <c r="M112" s="106"/>
      <c r="N112" s="106"/>
      <c r="O112" s="106"/>
      <c r="P112" s="108"/>
    </row>
    <row r="113" spans="1:16" s="143" customFormat="1" x14ac:dyDescent="0.25">
      <c r="A113" s="109">
        <f>IF(G113&lt;&gt;"",1+MAX($A$13:A112),"")</f>
        <v>49</v>
      </c>
      <c r="B113" s="144" t="s">
        <v>385</v>
      </c>
      <c r="C113" s="144" t="s">
        <v>199</v>
      </c>
      <c r="D113" s="113" t="s">
        <v>207</v>
      </c>
      <c r="E113" s="112">
        <v>157.77000000000001</v>
      </c>
      <c r="F113" s="107">
        <f>VLOOKUP(H113,'PROJECT SUMMARY'!$C$26:$D$32,2,0)</f>
        <v>0.05</v>
      </c>
      <c r="G113" s="112">
        <f t="shared" si="32"/>
        <v>165.6585</v>
      </c>
      <c r="H113" s="144" t="s">
        <v>11</v>
      </c>
      <c r="I113" s="110">
        <v>4.8000000000000001E-2</v>
      </c>
      <c r="J113" s="111">
        <f t="shared" si="33"/>
        <v>7.9516080000000002</v>
      </c>
      <c r="K113" s="106">
        <v>58</v>
      </c>
      <c r="L113" s="106">
        <f t="shared" si="34"/>
        <v>461.193264</v>
      </c>
      <c r="M113" s="106">
        <v>7.1</v>
      </c>
      <c r="N113" s="106">
        <f t="shared" si="35"/>
        <v>1176.17535</v>
      </c>
      <c r="O113" s="106">
        <f t="shared" si="36"/>
        <v>1637.368614</v>
      </c>
      <c r="P113" s="108"/>
    </row>
    <row r="114" spans="1:16" s="143" customFormat="1" x14ac:dyDescent="0.25">
      <c r="A114" s="109">
        <f>IF(G114&lt;&gt;"",1+MAX($A$13:A113),"")</f>
        <v>50</v>
      </c>
      <c r="B114" s="178" t="s">
        <v>385</v>
      </c>
      <c r="C114" s="144" t="s">
        <v>199</v>
      </c>
      <c r="D114" s="113" t="s">
        <v>210</v>
      </c>
      <c r="E114" s="112">
        <v>151.34</v>
      </c>
      <c r="F114" s="107">
        <f>VLOOKUP(H114,'PROJECT SUMMARY'!$C$26:$D$32,2,0)</f>
        <v>0.05</v>
      </c>
      <c r="G114" s="112">
        <f t="shared" si="32"/>
        <v>158.90700000000001</v>
      </c>
      <c r="H114" s="144" t="s">
        <v>11</v>
      </c>
      <c r="I114" s="110">
        <v>4.4999999999999998E-2</v>
      </c>
      <c r="J114" s="111">
        <f t="shared" si="33"/>
        <v>7.1508150000000006</v>
      </c>
      <c r="K114" s="106">
        <v>58</v>
      </c>
      <c r="L114" s="106">
        <f t="shared" si="34"/>
        <v>414.74727000000001</v>
      </c>
      <c r="M114" s="106">
        <v>6.36</v>
      </c>
      <c r="N114" s="106">
        <f t="shared" si="35"/>
        <v>1010.6485200000001</v>
      </c>
      <c r="O114" s="106">
        <f t="shared" si="36"/>
        <v>1425.39579</v>
      </c>
      <c r="P114" s="108"/>
    </row>
    <row r="115" spans="1:16" s="143" customFormat="1" x14ac:dyDescent="0.25">
      <c r="A115" s="109" t="str">
        <f>IF(G115&lt;&gt;"",1+MAX($A$13:A114),"")</f>
        <v/>
      </c>
      <c r="B115" s="144"/>
      <c r="C115" s="144"/>
      <c r="D115" s="113"/>
      <c r="E115" s="112"/>
      <c r="F115" s="107"/>
      <c r="G115" s="112"/>
      <c r="H115" s="144"/>
      <c r="I115" s="110"/>
      <c r="J115" s="111"/>
      <c r="K115" s="106"/>
      <c r="L115" s="106"/>
      <c r="M115" s="106"/>
      <c r="N115" s="106"/>
      <c r="O115" s="106"/>
      <c r="P115" s="108"/>
    </row>
    <row r="116" spans="1:16" s="143" customFormat="1" x14ac:dyDescent="0.25">
      <c r="A116" s="109">
        <f>IF(G116&lt;&gt;"",1+MAX($A$13:A115),"")</f>
        <v>51</v>
      </c>
      <c r="B116" s="178" t="s">
        <v>385</v>
      </c>
      <c r="C116" s="144" t="s">
        <v>199</v>
      </c>
      <c r="D116" s="113" t="s">
        <v>208</v>
      </c>
      <c r="E116" s="112">
        <v>74.42</v>
      </c>
      <c r="F116" s="107">
        <f>VLOOKUP(H116,'PROJECT SUMMARY'!$C$26:$D$32,2,0)</f>
        <v>0.05</v>
      </c>
      <c r="G116" s="112">
        <f t="shared" si="32"/>
        <v>78.141000000000005</v>
      </c>
      <c r="H116" s="144" t="s">
        <v>11</v>
      </c>
      <c r="I116" s="110">
        <v>3.5000000000000003E-2</v>
      </c>
      <c r="J116" s="111">
        <f t="shared" si="33"/>
        <v>2.7349350000000006</v>
      </c>
      <c r="K116" s="106">
        <v>58</v>
      </c>
      <c r="L116" s="106">
        <f t="shared" si="34"/>
        <v>158.62623000000002</v>
      </c>
      <c r="M116" s="106">
        <v>2.6</v>
      </c>
      <c r="N116" s="106">
        <f t="shared" si="35"/>
        <v>203.16660000000002</v>
      </c>
      <c r="O116" s="106">
        <f t="shared" si="36"/>
        <v>361.79283000000004</v>
      </c>
      <c r="P116" s="108"/>
    </row>
    <row r="117" spans="1:16" s="143" customFormat="1" x14ac:dyDescent="0.25">
      <c r="A117" s="109">
        <f>IF(G117&lt;&gt;"",1+MAX($A$13:A116),"")</f>
        <v>52</v>
      </c>
      <c r="B117" s="178" t="s">
        <v>385</v>
      </c>
      <c r="C117" s="144" t="s">
        <v>199</v>
      </c>
      <c r="D117" s="113" t="s">
        <v>209</v>
      </c>
      <c r="E117" s="112">
        <v>211.47</v>
      </c>
      <c r="F117" s="107">
        <f>VLOOKUP(H117,'PROJECT SUMMARY'!$C$26:$D$32,2,0)</f>
        <v>0.05</v>
      </c>
      <c r="G117" s="112">
        <f t="shared" si="32"/>
        <v>222.04349999999999</v>
      </c>
      <c r="H117" s="144" t="s">
        <v>11</v>
      </c>
      <c r="I117" s="110">
        <v>3.5999999999999997E-2</v>
      </c>
      <c r="J117" s="111">
        <f t="shared" si="33"/>
        <v>7.9935659999999995</v>
      </c>
      <c r="K117" s="106">
        <v>58</v>
      </c>
      <c r="L117" s="106">
        <f t="shared" si="34"/>
        <v>463.62682799999999</v>
      </c>
      <c r="M117" s="106">
        <v>2.88</v>
      </c>
      <c r="N117" s="106">
        <f t="shared" si="35"/>
        <v>639.48527999999999</v>
      </c>
      <c r="O117" s="106">
        <f t="shared" si="36"/>
        <v>1103.112108</v>
      </c>
      <c r="P117" s="108"/>
    </row>
    <row r="118" spans="1:16" s="140" customFormat="1" x14ac:dyDescent="0.25">
      <c r="A118" s="109">
        <f>IF(G118&lt;&gt;"",1+MAX($A$13:A117),"")</f>
        <v>53</v>
      </c>
      <c r="B118" s="178" t="s">
        <v>385</v>
      </c>
      <c r="C118" s="141" t="s">
        <v>199</v>
      </c>
      <c r="D118" s="113" t="s">
        <v>205</v>
      </c>
      <c r="E118" s="112">
        <v>7</v>
      </c>
      <c r="F118" s="107">
        <f>VLOOKUP(H118,'PROJECT SUMMARY'!$C$26:$D$32,2,0)</f>
        <v>0</v>
      </c>
      <c r="G118" s="112">
        <f t="shared" ref="G118:G119" si="37">E118*(1+F118)</f>
        <v>7</v>
      </c>
      <c r="H118" s="141" t="s">
        <v>10</v>
      </c>
      <c r="I118" s="110">
        <v>0.9</v>
      </c>
      <c r="J118" s="111">
        <f t="shared" si="33"/>
        <v>6.3</v>
      </c>
      <c r="K118" s="106">
        <v>58</v>
      </c>
      <c r="L118" s="106">
        <f t="shared" si="34"/>
        <v>365.4</v>
      </c>
      <c r="M118" s="106">
        <v>36.979999999999997</v>
      </c>
      <c r="N118" s="106">
        <f t="shared" si="35"/>
        <v>258.85999999999996</v>
      </c>
      <c r="O118" s="106">
        <f t="shared" si="36"/>
        <v>624.26</v>
      </c>
      <c r="P118" s="108"/>
    </row>
    <row r="119" spans="1:16" s="140" customFormat="1" x14ac:dyDescent="0.25">
      <c r="A119" s="109">
        <f>IF(G119&lt;&gt;"",1+MAX($A$13:A118),"")</f>
        <v>54</v>
      </c>
      <c r="B119" s="178" t="s">
        <v>385</v>
      </c>
      <c r="C119" s="141" t="s">
        <v>199</v>
      </c>
      <c r="D119" s="113" t="s">
        <v>206</v>
      </c>
      <c r="E119" s="112">
        <v>5</v>
      </c>
      <c r="F119" s="107">
        <f>VLOOKUP(H119,'PROJECT SUMMARY'!$C$26:$D$32,2,0)</f>
        <v>0</v>
      </c>
      <c r="G119" s="112">
        <f t="shared" si="37"/>
        <v>5</v>
      </c>
      <c r="H119" s="178" t="s">
        <v>10</v>
      </c>
      <c r="I119" s="110">
        <v>2.25</v>
      </c>
      <c r="J119" s="111">
        <f t="shared" si="33"/>
        <v>11.25</v>
      </c>
      <c r="K119" s="106">
        <v>58</v>
      </c>
      <c r="L119" s="106">
        <f t="shared" si="34"/>
        <v>652.5</v>
      </c>
      <c r="M119" s="106">
        <v>362</v>
      </c>
      <c r="N119" s="106">
        <f t="shared" si="35"/>
        <v>1810</v>
      </c>
      <c r="O119" s="106">
        <f t="shared" si="36"/>
        <v>2462.5</v>
      </c>
      <c r="P119" s="108"/>
    </row>
    <row r="120" spans="1:16" s="140" customFormat="1" x14ac:dyDescent="0.25">
      <c r="A120" s="109" t="str">
        <f>IF(G120&lt;&gt;"",1+MAX($A$13:A119),"")</f>
        <v/>
      </c>
      <c r="B120" s="141"/>
      <c r="C120" s="141"/>
      <c r="E120" s="112"/>
      <c r="F120" s="107"/>
      <c r="G120" s="112"/>
      <c r="H120" s="141"/>
      <c r="I120" s="177"/>
      <c r="J120" s="177"/>
      <c r="K120" s="106"/>
      <c r="L120" s="106"/>
      <c r="M120" s="106"/>
      <c r="N120" s="106"/>
      <c r="O120" s="106"/>
      <c r="P120" s="108"/>
    </row>
    <row r="121" spans="1:16" s="140" customFormat="1" x14ac:dyDescent="0.25">
      <c r="A121" s="109" t="str">
        <f>IF(G121&lt;&gt;"",1+MAX($A$13:A120),"")</f>
        <v/>
      </c>
      <c r="B121" s="141"/>
      <c r="C121" s="141"/>
      <c r="D121" s="58" t="s">
        <v>202</v>
      </c>
      <c r="E121" s="112"/>
      <c r="F121" s="107"/>
      <c r="G121" s="112"/>
      <c r="H121" s="141"/>
      <c r="I121" s="177"/>
      <c r="J121" s="177"/>
      <c r="K121" s="106"/>
      <c r="L121" s="106"/>
      <c r="M121" s="106"/>
      <c r="N121" s="106"/>
      <c r="O121" s="106"/>
      <c r="P121" s="108"/>
    </row>
    <row r="122" spans="1:16" s="140" customFormat="1" ht="31.5" x14ac:dyDescent="0.25">
      <c r="A122" s="109">
        <f>IF(G122&lt;&gt;"",1+MAX($A$13:A121),"")</f>
        <v>55</v>
      </c>
      <c r="B122" s="178" t="s">
        <v>385</v>
      </c>
      <c r="C122" s="141" t="s">
        <v>199</v>
      </c>
      <c r="D122" s="113" t="s">
        <v>266</v>
      </c>
      <c r="E122" s="112">
        <v>1035.96</v>
      </c>
      <c r="F122" s="107">
        <f>VLOOKUP(H122,'PROJECT SUMMARY'!$C$26:$D$32,2,0)</f>
        <v>0.05</v>
      </c>
      <c r="G122" s="112">
        <f t="shared" ref="G122:G123" si="38">E122*(1+F122)</f>
        <v>1087.758</v>
      </c>
      <c r="H122" s="141" t="s">
        <v>12</v>
      </c>
      <c r="I122" s="110">
        <v>3.3000000000000002E-2</v>
      </c>
      <c r="J122" s="111">
        <f t="shared" ref="J122:J128" si="39">I122*G122</f>
        <v>35.896014000000001</v>
      </c>
      <c r="K122" s="106">
        <v>58</v>
      </c>
      <c r="L122" s="106">
        <f t="shared" ref="L122:L128" si="40">K122*J122</f>
        <v>2081.9688120000001</v>
      </c>
      <c r="M122" s="106">
        <v>3.25</v>
      </c>
      <c r="N122" s="106">
        <f t="shared" ref="N122:N128" si="41">M122*G122</f>
        <v>3535.2135000000003</v>
      </c>
      <c r="O122" s="106">
        <f t="shared" ref="O122:O128" si="42">L122+N122</f>
        <v>5617.1823120000008</v>
      </c>
      <c r="P122" s="108"/>
    </row>
    <row r="123" spans="1:16" s="140" customFormat="1" ht="31.5" x14ac:dyDescent="0.25">
      <c r="A123" s="109">
        <f>IF(G123&lt;&gt;"",1+MAX($A$13:A122),"")</f>
        <v>56</v>
      </c>
      <c r="B123" s="178" t="s">
        <v>385</v>
      </c>
      <c r="C123" s="141" t="s">
        <v>199</v>
      </c>
      <c r="D123" s="113" t="s">
        <v>267</v>
      </c>
      <c r="E123" s="112">
        <v>1849.92</v>
      </c>
      <c r="F123" s="107">
        <f>VLOOKUP(H123,'PROJECT SUMMARY'!$C$26:$D$32,2,0)</f>
        <v>0.05</v>
      </c>
      <c r="G123" s="112">
        <f t="shared" si="38"/>
        <v>1942.4160000000002</v>
      </c>
      <c r="H123" s="141" t="s">
        <v>12</v>
      </c>
      <c r="I123" s="110">
        <v>0.04</v>
      </c>
      <c r="J123" s="111">
        <f t="shared" si="39"/>
        <v>77.696640000000002</v>
      </c>
      <c r="K123" s="106">
        <v>58</v>
      </c>
      <c r="L123" s="106">
        <f t="shared" si="40"/>
        <v>4506.4051200000004</v>
      </c>
      <c r="M123" s="106">
        <v>3.59</v>
      </c>
      <c r="N123" s="106">
        <f t="shared" si="41"/>
        <v>6973.2734399999999</v>
      </c>
      <c r="O123" s="106">
        <f t="shared" si="42"/>
        <v>11479.67856</v>
      </c>
      <c r="P123" s="108"/>
    </row>
    <row r="124" spans="1:16" s="140" customFormat="1" ht="31.5" x14ac:dyDescent="0.25">
      <c r="A124" s="109">
        <f>IF(G124&lt;&gt;"",1+MAX($A$13:A123),"")</f>
        <v>57</v>
      </c>
      <c r="B124" s="178" t="s">
        <v>385</v>
      </c>
      <c r="C124" s="141" t="s">
        <v>199</v>
      </c>
      <c r="D124" s="113" t="s">
        <v>268</v>
      </c>
      <c r="E124" s="112">
        <v>897.88</v>
      </c>
      <c r="F124" s="107">
        <f>VLOOKUP(H124,'PROJECT SUMMARY'!$C$26:$D$32,2,0)</f>
        <v>0.05</v>
      </c>
      <c r="G124" s="112">
        <f t="shared" ref="G124:G128" si="43">E124*(1+F124)</f>
        <v>942.774</v>
      </c>
      <c r="H124" s="141" t="s">
        <v>12</v>
      </c>
      <c r="I124" s="110">
        <v>0.04</v>
      </c>
      <c r="J124" s="111">
        <f t="shared" si="39"/>
        <v>37.71096</v>
      </c>
      <c r="K124" s="106">
        <v>58</v>
      </c>
      <c r="L124" s="106">
        <f t="shared" si="40"/>
        <v>2187.2356799999998</v>
      </c>
      <c r="M124" s="106">
        <v>3.59</v>
      </c>
      <c r="N124" s="106">
        <f t="shared" si="41"/>
        <v>3384.5586599999997</v>
      </c>
      <c r="O124" s="106">
        <f t="shared" si="42"/>
        <v>5571.7943399999995</v>
      </c>
      <c r="P124" s="108"/>
    </row>
    <row r="125" spans="1:16" s="140" customFormat="1" x14ac:dyDescent="0.25">
      <c r="A125" s="109" t="str">
        <f>IF(G125&lt;&gt;"",1+MAX($A$13:A124),"")</f>
        <v/>
      </c>
      <c r="B125" s="141"/>
      <c r="C125" s="148"/>
      <c r="D125" s="113"/>
      <c r="E125" s="112"/>
      <c r="F125" s="107"/>
      <c r="G125" s="112"/>
      <c r="H125" s="141"/>
      <c r="I125" s="110"/>
      <c r="J125" s="111"/>
      <c r="K125" s="106"/>
      <c r="L125" s="106"/>
      <c r="M125" s="106"/>
      <c r="N125" s="106"/>
      <c r="O125" s="106"/>
      <c r="P125" s="108"/>
    </row>
    <row r="126" spans="1:16" s="140" customFormat="1" x14ac:dyDescent="0.25">
      <c r="A126" s="109">
        <f>IF(G126&lt;&gt;"",1+MAX($A$13:A125),"")</f>
        <v>58</v>
      </c>
      <c r="B126" s="178" t="s">
        <v>385</v>
      </c>
      <c r="C126" s="148" t="s">
        <v>199</v>
      </c>
      <c r="D126" s="113" t="s">
        <v>269</v>
      </c>
      <c r="E126" s="112">
        <v>50</v>
      </c>
      <c r="F126" s="107">
        <f>VLOOKUP(H126,'PROJECT SUMMARY'!$C$26:$D$32,2,0)</f>
        <v>0.05</v>
      </c>
      <c r="G126" s="112">
        <f t="shared" si="43"/>
        <v>52.5</v>
      </c>
      <c r="H126" s="141" t="s">
        <v>11</v>
      </c>
      <c r="I126" s="110">
        <v>3.5999999999999997E-2</v>
      </c>
      <c r="J126" s="111">
        <f t="shared" si="39"/>
        <v>1.89</v>
      </c>
      <c r="K126" s="106">
        <v>58</v>
      </c>
      <c r="L126" s="106">
        <f t="shared" si="40"/>
        <v>109.61999999999999</v>
      </c>
      <c r="M126" s="106">
        <v>7.549090909090908</v>
      </c>
      <c r="N126" s="106">
        <f t="shared" si="41"/>
        <v>396.32727272727266</v>
      </c>
      <c r="O126" s="106">
        <f t="shared" si="42"/>
        <v>505.94727272727266</v>
      </c>
      <c r="P126" s="108"/>
    </row>
    <row r="127" spans="1:16" s="140" customFormat="1" x14ac:dyDescent="0.25">
      <c r="A127" s="109">
        <f>IF(G127&lt;&gt;"",1+MAX($A$13:A126),"")</f>
        <v>59</v>
      </c>
      <c r="B127" s="178" t="s">
        <v>385</v>
      </c>
      <c r="C127" s="141" t="s">
        <v>199</v>
      </c>
      <c r="D127" s="113" t="s">
        <v>270</v>
      </c>
      <c r="E127" s="112">
        <v>206.66</v>
      </c>
      <c r="F127" s="107">
        <f>VLOOKUP(H127,'PROJECT SUMMARY'!$C$26:$D$32,2,0)</f>
        <v>0.05</v>
      </c>
      <c r="G127" s="112">
        <f t="shared" si="43"/>
        <v>216.99299999999999</v>
      </c>
      <c r="H127" s="142" t="s">
        <v>11</v>
      </c>
      <c r="I127" s="110">
        <v>4.2000000000000003E-2</v>
      </c>
      <c r="J127" s="111">
        <f t="shared" si="39"/>
        <v>9.1137060000000005</v>
      </c>
      <c r="K127" s="106">
        <v>58</v>
      </c>
      <c r="L127" s="106">
        <f t="shared" si="40"/>
        <v>528.59494800000004</v>
      </c>
      <c r="M127" s="106">
        <v>11.389090909090909</v>
      </c>
      <c r="N127" s="106">
        <f t="shared" si="41"/>
        <v>2471.3530036363636</v>
      </c>
      <c r="O127" s="106">
        <f t="shared" si="42"/>
        <v>2999.9479516363635</v>
      </c>
      <c r="P127" s="108"/>
    </row>
    <row r="128" spans="1:16" s="140" customFormat="1" x14ac:dyDescent="0.25">
      <c r="A128" s="109">
        <f>IF(G128&lt;&gt;"",1+MAX($A$13:A127),"")</f>
        <v>60</v>
      </c>
      <c r="B128" s="178" t="s">
        <v>385</v>
      </c>
      <c r="C128" s="141" t="s">
        <v>199</v>
      </c>
      <c r="D128" s="113" t="s">
        <v>271</v>
      </c>
      <c r="E128" s="112">
        <v>196.31</v>
      </c>
      <c r="F128" s="107">
        <f>VLOOKUP(H128,'PROJECT SUMMARY'!$C$26:$D$32,2,0)</f>
        <v>0.05</v>
      </c>
      <c r="G128" s="112">
        <f t="shared" si="43"/>
        <v>206.12550000000002</v>
      </c>
      <c r="H128" s="142" t="s">
        <v>11</v>
      </c>
      <c r="I128" s="110">
        <v>3.7999999999999999E-2</v>
      </c>
      <c r="J128" s="111">
        <f t="shared" si="39"/>
        <v>7.8327690000000008</v>
      </c>
      <c r="K128" s="106">
        <v>58</v>
      </c>
      <c r="L128" s="106">
        <f t="shared" si="40"/>
        <v>454.30060200000003</v>
      </c>
      <c r="M128" s="106">
        <v>8.8581818181818175</v>
      </c>
      <c r="N128" s="106">
        <f t="shared" si="41"/>
        <v>1825.8971563636364</v>
      </c>
      <c r="O128" s="106">
        <f t="shared" si="42"/>
        <v>2280.1977583636362</v>
      </c>
      <c r="P128" s="108"/>
    </row>
    <row r="129" spans="1:16" s="140" customFormat="1" x14ac:dyDescent="0.25">
      <c r="A129" s="109" t="str">
        <f>IF(G129&lt;&gt;"",1+MAX($A$13:A128),"")</f>
        <v/>
      </c>
      <c r="B129" s="141"/>
      <c r="C129" s="141"/>
      <c r="E129" s="112"/>
      <c r="F129" s="107"/>
      <c r="G129" s="112"/>
      <c r="H129" s="141"/>
      <c r="I129" s="177"/>
      <c r="J129" s="177"/>
      <c r="K129" s="106"/>
      <c r="L129" s="106"/>
      <c r="M129" s="106"/>
      <c r="N129" s="106"/>
      <c r="O129" s="106"/>
      <c r="P129" s="108"/>
    </row>
    <row r="130" spans="1:16" s="140" customFormat="1" x14ac:dyDescent="0.25">
      <c r="A130" s="109" t="str">
        <f>IF(G130&lt;&gt;"",1+MAX($A$13:A129),"")</f>
        <v/>
      </c>
      <c r="B130" s="141"/>
      <c r="C130" s="141"/>
      <c r="D130" s="58" t="s">
        <v>258</v>
      </c>
      <c r="E130" s="112"/>
      <c r="F130" s="107"/>
      <c r="G130" s="112"/>
      <c r="H130" s="141"/>
      <c r="I130" s="177"/>
      <c r="J130" s="177"/>
      <c r="K130" s="106"/>
      <c r="L130" s="106"/>
      <c r="M130" s="106"/>
      <c r="N130" s="106"/>
      <c r="O130" s="106"/>
      <c r="P130" s="108"/>
    </row>
    <row r="131" spans="1:16" s="140" customFormat="1" x14ac:dyDescent="0.25">
      <c r="A131" s="109">
        <f>IF(G131&lt;&gt;"",1+MAX($A$13:A130),"")</f>
        <v>61</v>
      </c>
      <c r="B131" s="178" t="s">
        <v>385</v>
      </c>
      <c r="C131" s="141" t="s">
        <v>199</v>
      </c>
      <c r="D131" s="113" t="s">
        <v>259</v>
      </c>
      <c r="E131" s="112">
        <v>4688</v>
      </c>
      <c r="F131" s="107">
        <f>VLOOKUP(H131,'PROJECT SUMMARY'!$C$26:$D$32,2,0)</f>
        <v>0.05</v>
      </c>
      <c r="G131" s="112">
        <f t="shared" ref="G131" si="44">E131*(1+F131)</f>
        <v>4922.4000000000005</v>
      </c>
      <c r="H131" s="178" t="s">
        <v>12</v>
      </c>
      <c r="I131" s="110">
        <v>0.02</v>
      </c>
      <c r="J131" s="111">
        <f t="shared" ref="J131:J132" si="45">I131*G131</f>
        <v>98.448000000000008</v>
      </c>
      <c r="K131" s="106">
        <v>58</v>
      </c>
      <c r="L131" s="106">
        <f t="shared" ref="L131:L132" si="46">K131*J131</f>
        <v>5709.9840000000004</v>
      </c>
      <c r="M131" s="106">
        <v>1.8120833333333335</v>
      </c>
      <c r="N131" s="106">
        <f t="shared" ref="N131:N132" si="47">M131*G131</f>
        <v>8919.7990000000009</v>
      </c>
      <c r="O131" s="106">
        <f t="shared" ref="O131:O132" si="48">L131+N131</f>
        <v>14629.783000000001</v>
      </c>
      <c r="P131" s="108"/>
    </row>
    <row r="132" spans="1:16" s="177" customFormat="1" x14ac:dyDescent="0.25">
      <c r="A132" s="109">
        <f>IF(G132&lt;&gt;"",1+MAX($A$13:A131),"")</f>
        <v>62</v>
      </c>
      <c r="B132" s="178" t="s">
        <v>385</v>
      </c>
      <c r="C132" s="178" t="s">
        <v>199</v>
      </c>
      <c r="D132" s="113" t="s">
        <v>262</v>
      </c>
      <c r="E132" s="112">
        <v>691.9</v>
      </c>
      <c r="F132" s="107">
        <f>VLOOKUP(H132,'PROJECT SUMMARY'!$C$26:$D$32,2,0)</f>
        <v>0.05</v>
      </c>
      <c r="G132" s="112">
        <f t="shared" ref="G132" si="49">E132*(1+F132)</f>
        <v>726.495</v>
      </c>
      <c r="H132" s="178" t="s">
        <v>12</v>
      </c>
      <c r="I132" s="110">
        <v>1.2999999999999999E-2</v>
      </c>
      <c r="J132" s="111">
        <f t="shared" si="45"/>
        <v>9.4444350000000004</v>
      </c>
      <c r="K132" s="106">
        <v>58</v>
      </c>
      <c r="L132" s="106">
        <f t="shared" si="46"/>
        <v>547.77723000000003</v>
      </c>
      <c r="M132" s="106">
        <v>1.75</v>
      </c>
      <c r="N132" s="106">
        <f t="shared" si="47"/>
        <v>1271.36625</v>
      </c>
      <c r="O132" s="106">
        <f t="shared" si="48"/>
        <v>1819.1434800000002</v>
      </c>
      <c r="P132" s="108"/>
    </row>
    <row r="133" spans="1:16" s="140" customFormat="1" x14ac:dyDescent="0.25">
      <c r="A133" s="109" t="str">
        <f>IF(G133&lt;&gt;"",1+MAX($A$13:A132),"")</f>
        <v/>
      </c>
      <c r="B133" s="141"/>
      <c r="C133" s="141"/>
      <c r="E133" s="112"/>
      <c r="F133" s="107"/>
      <c r="G133" s="112"/>
      <c r="H133" s="141"/>
      <c r="I133" s="177"/>
      <c r="J133" s="177"/>
      <c r="K133" s="106"/>
      <c r="L133" s="106"/>
      <c r="M133" s="106"/>
      <c r="N133" s="106"/>
      <c r="O133" s="106"/>
      <c r="P133" s="108"/>
    </row>
    <row r="134" spans="1:16" s="140" customFormat="1" x14ac:dyDescent="0.25">
      <c r="A134" s="109" t="str">
        <f>IF(G134&lt;&gt;"",1+MAX($A$13:A133),"")</f>
        <v/>
      </c>
      <c r="B134" s="141"/>
      <c r="C134" s="141"/>
      <c r="D134" s="58" t="s">
        <v>232</v>
      </c>
      <c r="E134" s="112"/>
      <c r="F134" s="107"/>
      <c r="G134" s="112"/>
      <c r="H134" s="141"/>
      <c r="I134" s="177"/>
      <c r="J134" s="177"/>
      <c r="K134" s="106"/>
      <c r="L134" s="106"/>
      <c r="M134" s="106"/>
      <c r="N134" s="106"/>
      <c r="O134" s="106"/>
      <c r="P134" s="108"/>
    </row>
    <row r="135" spans="1:16" s="140" customFormat="1" x14ac:dyDescent="0.25">
      <c r="A135" s="109">
        <f>IF(G135&lt;&gt;"",1+MAX($A$13:A134),"")</f>
        <v>63</v>
      </c>
      <c r="B135" s="178" t="s">
        <v>382</v>
      </c>
      <c r="C135" s="141" t="s">
        <v>199</v>
      </c>
      <c r="D135" s="113" t="s">
        <v>334</v>
      </c>
      <c r="E135" s="112">
        <v>1991.75</v>
      </c>
      <c r="F135" s="107">
        <f>VLOOKUP(H135,'PROJECT SUMMARY'!$C$26:$D$32,2,0)</f>
        <v>0.05</v>
      </c>
      <c r="G135" s="112">
        <f t="shared" ref="G135" si="50">E135*(1+F135)</f>
        <v>2091.3375000000001</v>
      </c>
      <c r="H135" s="141" t="s">
        <v>12</v>
      </c>
      <c r="I135" s="110">
        <v>7.0000000000000001E-3</v>
      </c>
      <c r="J135" s="111">
        <f t="shared" ref="J135:J136" si="51">I135*G135</f>
        <v>14.639362500000001</v>
      </c>
      <c r="K135" s="106">
        <v>58</v>
      </c>
      <c r="L135" s="106">
        <f t="shared" ref="L135:L136" si="52">K135*J135</f>
        <v>849.08302500000002</v>
      </c>
      <c r="M135" s="106">
        <v>0.32600000000000001</v>
      </c>
      <c r="N135" s="106">
        <f t="shared" ref="N135:N136" si="53">M135*G135</f>
        <v>681.776025</v>
      </c>
      <c r="O135" s="106">
        <f t="shared" ref="O135:O136" si="54">L135+N135</f>
        <v>1530.85905</v>
      </c>
      <c r="P135" s="108"/>
    </row>
    <row r="136" spans="1:16" s="177" customFormat="1" x14ac:dyDescent="0.25">
      <c r="A136" s="109">
        <f>IF(G136&lt;&gt;"",1+MAX($A$13:A135),"")</f>
        <v>64</v>
      </c>
      <c r="B136" s="178" t="s">
        <v>385</v>
      </c>
      <c r="C136" s="178" t="s">
        <v>199</v>
      </c>
      <c r="D136" s="113" t="s">
        <v>335</v>
      </c>
      <c r="E136" s="112">
        <v>4657.83</v>
      </c>
      <c r="F136" s="107">
        <f>VLOOKUP(H136,'PROJECT SUMMARY'!$C$26:$D$32,2,0)</f>
        <v>0.05</v>
      </c>
      <c r="G136" s="112">
        <f t="shared" ref="G136" si="55">E136*(1+F136)</f>
        <v>4890.7215000000006</v>
      </c>
      <c r="H136" s="178" t="s">
        <v>12</v>
      </c>
      <c r="I136" s="110">
        <v>7.0000000000000001E-3</v>
      </c>
      <c r="J136" s="111">
        <f t="shared" si="51"/>
        <v>34.235050500000007</v>
      </c>
      <c r="K136" s="106">
        <v>58</v>
      </c>
      <c r="L136" s="106">
        <f t="shared" si="52"/>
        <v>1985.6329290000003</v>
      </c>
      <c r="M136" s="106">
        <v>0.32600000000000001</v>
      </c>
      <c r="N136" s="106">
        <f t="shared" si="53"/>
        <v>1594.3752090000003</v>
      </c>
      <c r="O136" s="106">
        <f t="shared" si="54"/>
        <v>3580.0081380000006</v>
      </c>
      <c r="P136" s="108"/>
    </row>
    <row r="137" spans="1:16" s="140" customFormat="1" x14ac:dyDescent="0.25">
      <c r="A137" s="109" t="str">
        <f>IF(G137&lt;&gt;"",1+MAX($A$13:A136),"")</f>
        <v/>
      </c>
      <c r="B137" s="141"/>
      <c r="C137" s="141"/>
      <c r="E137" s="112"/>
      <c r="F137" s="107"/>
      <c r="G137" s="112"/>
      <c r="H137" s="141"/>
      <c r="I137" s="177"/>
      <c r="J137" s="177"/>
      <c r="K137" s="106"/>
      <c r="L137" s="106"/>
      <c r="M137" s="106"/>
      <c r="N137" s="106"/>
      <c r="O137" s="106"/>
      <c r="P137" s="108"/>
    </row>
    <row r="138" spans="1:16" s="140" customFormat="1" x14ac:dyDescent="0.25">
      <c r="A138" s="109" t="str">
        <f>IF(G138&lt;&gt;"",1+MAX($A$13:A137),"")</f>
        <v/>
      </c>
      <c r="B138" s="141"/>
      <c r="C138" s="141"/>
      <c r="D138" s="58" t="s">
        <v>272</v>
      </c>
      <c r="E138" s="112"/>
      <c r="F138" s="107"/>
      <c r="G138" s="112"/>
      <c r="H138" s="141"/>
      <c r="I138" s="177"/>
      <c r="J138" s="177"/>
      <c r="K138" s="106"/>
      <c r="L138" s="106"/>
      <c r="M138" s="106"/>
      <c r="N138" s="106"/>
      <c r="O138" s="106"/>
      <c r="P138" s="108"/>
    </row>
    <row r="139" spans="1:16" s="140" customFormat="1" x14ac:dyDescent="0.25">
      <c r="A139" s="109">
        <f>IF(G139&lt;&gt;"",1+MAX($A$13:A138),"")</f>
        <v>65</v>
      </c>
      <c r="B139" s="141"/>
      <c r="C139" s="141" t="s">
        <v>199</v>
      </c>
      <c r="D139" s="113" t="s">
        <v>273</v>
      </c>
      <c r="E139" s="112">
        <v>1463.42</v>
      </c>
      <c r="F139" s="107">
        <f>VLOOKUP(H139,'PROJECT SUMMARY'!$C$26:$D$32,2,0)</f>
        <v>0.05</v>
      </c>
      <c r="G139" s="112">
        <f t="shared" ref="G139:G140" si="56">E139*(1+F139)</f>
        <v>1536.5910000000001</v>
      </c>
      <c r="H139" s="178" t="s">
        <v>11</v>
      </c>
      <c r="I139" s="110">
        <v>6.0000000000000001E-3</v>
      </c>
      <c r="J139" s="111">
        <f t="shared" ref="J139:J140" si="57">I139*G139</f>
        <v>9.2195460000000011</v>
      </c>
      <c r="K139" s="106">
        <v>58</v>
      </c>
      <c r="L139" s="106">
        <f t="shared" ref="L139:L140" si="58">K139*J139</f>
        <v>534.73366800000008</v>
      </c>
      <c r="M139" s="106">
        <v>0.1</v>
      </c>
      <c r="N139" s="106">
        <f t="shared" ref="N139:N140" si="59">M139*G139</f>
        <v>153.65910000000002</v>
      </c>
      <c r="O139" s="106">
        <f t="shared" ref="O139:O140" si="60">L139+N139</f>
        <v>688.39276800000016</v>
      </c>
      <c r="P139" s="108"/>
    </row>
    <row r="140" spans="1:16" s="140" customFormat="1" x14ac:dyDescent="0.25">
      <c r="A140" s="109">
        <f>IF(G140&lt;&gt;"",1+MAX($A$13:A139),"")</f>
        <v>66</v>
      </c>
      <c r="B140" s="141"/>
      <c r="C140" s="141" t="s">
        <v>199</v>
      </c>
      <c r="D140" s="177" t="s">
        <v>274</v>
      </c>
      <c r="E140" s="112">
        <v>798.84</v>
      </c>
      <c r="F140" s="107">
        <f>VLOOKUP(H140,'PROJECT SUMMARY'!$C$26:$D$32,2,0)</f>
        <v>0.05</v>
      </c>
      <c r="G140" s="112">
        <f t="shared" si="56"/>
        <v>838.78200000000004</v>
      </c>
      <c r="H140" s="178" t="s">
        <v>11</v>
      </c>
      <c r="I140" s="110">
        <v>6.0000000000000001E-3</v>
      </c>
      <c r="J140" s="111">
        <f t="shared" si="57"/>
        <v>5.0326919999999999</v>
      </c>
      <c r="K140" s="106">
        <v>58</v>
      </c>
      <c r="L140" s="106">
        <f t="shared" si="58"/>
        <v>291.89613600000001</v>
      </c>
      <c r="M140" s="106">
        <v>0.1</v>
      </c>
      <c r="N140" s="106">
        <f t="shared" si="59"/>
        <v>83.878200000000007</v>
      </c>
      <c r="O140" s="106">
        <f t="shared" si="60"/>
        <v>375.77433600000001</v>
      </c>
      <c r="P140" s="108"/>
    </row>
    <row r="141" spans="1:16" ht="16.5" thickBot="1" x14ac:dyDescent="0.3">
      <c r="A141" s="109" t="str">
        <f>IF(G141&lt;&gt;"",1+MAX($A$13:A140),"")</f>
        <v/>
      </c>
      <c r="H141" s="82"/>
      <c r="P141" s="46"/>
    </row>
    <row r="142" spans="1:16" s="81" customFormat="1" ht="16.5" thickBot="1" x14ac:dyDescent="0.3">
      <c r="A142" s="89" t="str">
        <f>IF(G142&lt;&gt;"",1+MAX($A$13:A141),"")</f>
        <v/>
      </c>
      <c r="B142" s="85"/>
      <c r="C142" s="85" t="s">
        <v>45</v>
      </c>
      <c r="D142" s="83" t="s">
        <v>46</v>
      </c>
      <c r="E142" s="87"/>
      <c r="F142" s="88"/>
      <c r="G142" s="87"/>
      <c r="H142" s="87"/>
      <c r="I142" s="83"/>
      <c r="J142" s="83"/>
      <c r="K142" s="84"/>
      <c r="L142" s="84"/>
      <c r="M142" s="84"/>
      <c r="N142" s="84"/>
      <c r="O142" s="86"/>
      <c r="P142" s="90">
        <f>SUM(O143:O179)</f>
        <v>104236.92520000001</v>
      </c>
    </row>
    <row r="143" spans="1:16" x14ac:dyDescent="0.25">
      <c r="A143" s="109" t="str">
        <f>IF(G143&lt;&gt;"",1+MAX($A$13:A142),"")</f>
        <v/>
      </c>
      <c r="H143" s="82"/>
      <c r="P143" s="46"/>
    </row>
    <row r="144" spans="1:16" x14ac:dyDescent="0.25">
      <c r="A144" s="109" t="str">
        <f>IF(G144&lt;&gt;"",1+MAX($A$13:A143),"")</f>
        <v/>
      </c>
      <c r="D144" s="58" t="s">
        <v>47</v>
      </c>
      <c r="H144" s="82"/>
      <c r="J144" s="71"/>
      <c r="P144" s="46"/>
    </row>
    <row r="145" spans="1:16" x14ac:dyDescent="0.25">
      <c r="A145" s="109">
        <f>IF(G145&lt;&gt;"",1+MAX($A$13:A144),"")</f>
        <v>67</v>
      </c>
      <c r="B145" s="82" t="s">
        <v>392</v>
      </c>
      <c r="C145" s="16" t="s">
        <v>45</v>
      </c>
      <c r="D145" s="113" t="s">
        <v>100</v>
      </c>
      <c r="E145" s="112">
        <v>1</v>
      </c>
      <c r="F145" s="39">
        <f>VLOOKUP(H145,'PROJECT SUMMARY'!$C$26:$D$32,2,0)</f>
        <v>0</v>
      </c>
      <c r="G145" s="31">
        <f>E145*(1+F145)</f>
        <v>1</v>
      </c>
      <c r="H145" s="82" t="s">
        <v>10</v>
      </c>
      <c r="I145" s="110">
        <v>5.3760000000000003</v>
      </c>
      <c r="J145" s="111">
        <f>I145*G145</f>
        <v>5.3760000000000003</v>
      </c>
      <c r="K145" s="106">
        <v>52</v>
      </c>
      <c r="L145" s="106">
        <f>K145*J145</f>
        <v>279.55200000000002</v>
      </c>
      <c r="M145" s="106">
        <v>896</v>
      </c>
      <c r="N145" s="106">
        <f>M145*G145</f>
        <v>896</v>
      </c>
      <c r="O145" s="106">
        <f>L145+N145</f>
        <v>1175.5520000000001</v>
      </c>
      <c r="P145" s="46"/>
    </row>
    <row r="146" spans="1:16" x14ac:dyDescent="0.25">
      <c r="A146" s="109">
        <f>IF(G146&lt;&gt;"",1+MAX($A$13:A145),"")</f>
        <v>68</v>
      </c>
      <c r="B146" s="178" t="s">
        <v>392</v>
      </c>
      <c r="C146" s="16" t="s">
        <v>45</v>
      </c>
      <c r="D146" s="113" t="s">
        <v>101</v>
      </c>
      <c r="E146" s="112">
        <v>1</v>
      </c>
      <c r="F146" s="39">
        <f>VLOOKUP(H146,'PROJECT SUMMARY'!$C$26:$D$32,2,0)</f>
        <v>0</v>
      </c>
      <c r="G146" s="31">
        <f t="shared" ref="G146:G159" si="61">E146*(1+F146)</f>
        <v>1</v>
      </c>
      <c r="H146" s="82" t="s">
        <v>10</v>
      </c>
      <c r="I146" s="110">
        <v>7.68</v>
      </c>
      <c r="J146" s="111">
        <f t="shared" ref="J146:J156" si="62">I146*G146</f>
        <v>7.68</v>
      </c>
      <c r="K146" s="106">
        <v>52</v>
      </c>
      <c r="L146" s="106">
        <f t="shared" ref="L146:L156" si="63">K146*J146</f>
        <v>399.36</v>
      </c>
      <c r="M146" s="106">
        <v>1280</v>
      </c>
      <c r="N146" s="106">
        <f t="shared" ref="N146:N159" si="64">M146*G146</f>
        <v>1280</v>
      </c>
      <c r="O146" s="106">
        <f t="shared" ref="O146:O159" si="65">L146+N146</f>
        <v>1679.3600000000001</v>
      </c>
      <c r="P146" s="46"/>
    </row>
    <row r="147" spans="1:16" x14ac:dyDescent="0.25">
      <c r="A147" s="109">
        <f>IF(G147&lt;&gt;"",1+MAX($A$13:A146),"")</f>
        <v>69</v>
      </c>
      <c r="B147" s="178" t="s">
        <v>392</v>
      </c>
      <c r="C147" s="16" t="s">
        <v>45</v>
      </c>
      <c r="D147" s="113" t="s">
        <v>102</v>
      </c>
      <c r="E147" s="112">
        <v>14</v>
      </c>
      <c r="F147" s="39">
        <f>VLOOKUP(H147,'PROJECT SUMMARY'!$C$26:$D$32,2,0)</f>
        <v>0</v>
      </c>
      <c r="G147" s="31">
        <f t="shared" si="61"/>
        <v>14</v>
      </c>
      <c r="H147" s="82" t="s">
        <v>10</v>
      </c>
      <c r="I147" s="110">
        <v>4.6080000000000005</v>
      </c>
      <c r="J147" s="111">
        <f t="shared" si="62"/>
        <v>64.512</v>
      </c>
      <c r="K147" s="106">
        <v>52</v>
      </c>
      <c r="L147" s="106">
        <f t="shared" si="63"/>
        <v>3354.6239999999998</v>
      </c>
      <c r="M147" s="106">
        <v>768</v>
      </c>
      <c r="N147" s="106">
        <f t="shared" si="64"/>
        <v>10752</v>
      </c>
      <c r="O147" s="106">
        <f t="shared" si="65"/>
        <v>14106.624</v>
      </c>
      <c r="P147" s="46"/>
    </row>
    <row r="148" spans="1:16" x14ac:dyDescent="0.25">
      <c r="A148" s="109">
        <f>IF(G148&lt;&gt;"",1+MAX($A$13:A147),"")</f>
        <v>70</v>
      </c>
      <c r="B148" s="178" t="s">
        <v>392</v>
      </c>
      <c r="C148" s="16" t="s">
        <v>45</v>
      </c>
      <c r="D148" s="113" t="s">
        <v>103</v>
      </c>
      <c r="E148" s="112">
        <v>5</v>
      </c>
      <c r="F148" s="39">
        <f>VLOOKUP(H148,'PROJECT SUMMARY'!$C$26:$D$32,2,0)</f>
        <v>0</v>
      </c>
      <c r="G148" s="31">
        <f>E148*(1+F148)</f>
        <v>5</v>
      </c>
      <c r="H148" s="82" t="s">
        <v>10</v>
      </c>
      <c r="I148" s="110">
        <v>4.1011199999999999</v>
      </c>
      <c r="J148" s="111">
        <f>I148*G148</f>
        <v>20.505600000000001</v>
      </c>
      <c r="K148" s="106">
        <v>52</v>
      </c>
      <c r="L148" s="106">
        <f>K148*J148</f>
        <v>1066.2912000000001</v>
      </c>
      <c r="M148" s="106">
        <v>683.52</v>
      </c>
      <c r="N148" s="106">
        <f>M148*G148</f>
        <v>3417.6</v>
      </c>
      <c r="O148" s="106">
        <f>L148+N148</f>
        <v>4483.8912</v>
      </c>
      <c r="P148" s="46"/>
    </row>
    <row r="149" spans="1:16" x14ac:dyDescent="0.25">
      <c r="A149" s="109">
        <f>IF(G149&lt;&gt;"",1+MAX($A$13:A148),"")</f>
        <v>71</v>
      </c>
      <c r="B149" s="178" t="s">
        <v>392</v>
      </c>
      <c r="C149" s="16" t="s">
        <v>45</v>
      </c>
      <c r="D149" s="113" t="s">
        <v>104</v>
      </c>
      <c r="E149" s="112">
        <v>1</v>
      </c>
      <c r="F149" s="39">
        <f>VLOOKUP(H149,'PROJECT SUMMARY'!$C$26:$D$32,2,0)</f>
        <v>0</v>
      </c>
      <c r="G149" s="31">
        <f t="shared" si="61"/>
        <v>1</v>
      </c>
      <c r="H149" s="82" t="s">
        <v>10</v>
      </c>
      <c r="I149" s="110">
        <v>16.384</v>
      </c>
      <c r="J149" s="111">
        <f t="shared" si="62"/>
        <v>16.384</v>
      </c>
      <c r="K149" s="106">
        <v>52</v>
      </c>
      <c r="L149" s="106">
        <f t="shared" si="63"/>
        <v>851.96800000000007</v>
      </c>
      <c r="M149" s="106">
        <v>4096</v>
      </c>
      <c r="N149" s="106">
        <f t="shared" si="64"/>
        <v>4096</v>
      </c>
      <c r="O149" s="106">
        <f t="shared" si="65"/>
        <v>4947.9679999999998</v>
      </c>
      <c r="P149" s="46"/>
    </row>
    <row r="150" spans="1:16" x14ac:dyDescent="0.25">
      <c r="A150" s="109">
        <f>IF(G150&lt;&gt;"",1+MAX($A$13:A149),"")</f>
        <v>72</v>
      </c>
      <c r="B150" s="178" t="s">
        <v>392</v>
      </c>
      <c r="C150" s="16" t="s">
        <v>45</v>
      </c>
      <c r="D150" s="113" t="s">
        <v>105</v>
      </c>
      <c r="E150" s="112">
        <v>1</v>
      </c>
      <c r="F150" s="39">
        <f>VLOOKUP(H150,'PROJECT SUMMARY'!$C$26:$D$32,2,0)</f>
        <v>0</v>
      </c>
      <c r="G150" s="31">
        <f t="shared" si="61"/>
        <v>1</v>
      </c>
      <c r="H150" s="82" t="s">
        <v>10</v>
      </c>
      <c r="I150" s="110">
        <v>6.1440000000000001</v>
      </c>
      <c r="J150" s="111">
        <f t="shared" si="62"/>
        <v>6.1440000000000001</v>
      </c>
      <c r="K150" s="106">
        <v>52</v>
      </c>
      <c r="L150" s="106">
        <f t="shared" si="63"/>
        <v>319.488</v>
      </c>
      <c r="M150" s="106">
        <v>1024</v>
      </c>
      <c r="N150" s="106">
        <f t="shared" si="64"/>
        <v>1024</v>
      </c>
      <c r="O150" s="106">
        <f t="shared" si="65"/>
        <v>1343.4880000000001</v>
      </c>
      <c r="P150" s="46"/>
    </row>
    <row r="151" spans="1:16" x14ac:dyDescent="0.25">
      <c r="A151" s="109">
        <f>IF(G151&lt;&gt;"",1+MAX($A$13:A150),"")</f>
        <v>73</v>
      </c>
      <c r="B151" s="178" t="s">
        <v>392</v>
      </c>
      <c r="C151" s="16" t="s">
        <v>45</v>
      </c>
      <c r="D151" s="113" t="s">
        <v>106</v>
      </c>
      <c r="E151" s="112">
        <v>1</v>
      </c>
      <c r="F151" s="39">
        <f>VLOOKUP(H151,'PROJECT SUMMARY'!$C$26:$D$32,2,0)</f>
        <v>0</v>
      </c>
      <c r="G151" s="31">
        <f t="shared" si="61"/>
        <v>1</v>
      </c>
      <c r="H151" s="82" t="s">
        <v>10</v>
      </c>
      <c r="I151" s="110">
        <v>4.6080000000000005</v>
      </c>
      <c r="J151" s="111">
        <f t="shared" si="62"/>
        <v>4.6080000000000005</v>
      </c>
      <c r="K151" s="106">
        <v>52</v>
      </c>
      <c r="L151" s="106">
        <f t="shared" si="63"/>
        <v>239.61600000000004</v>
      </c>
      <c r="M151" s="106">
        <v>768</v>
      </c>
      <c r="N151" s="106">
        <f t="shared" si="64"/>
        <v>768</v>
      </c>
      <c r="O151" s="106">
        <f t="shared" si="65"/>
        <v>1007.616</v>
      </c>
      <c r="P151" s="46"/>
    </row>
    <row r="152" spans="1:16" x14ac:dyDescent="0.25">
      <c r="A152" s="109">
        <f>IF(G152&lt;&gt;"",1+MAX($A$13:A151),"")</f>
        <v>74</v>
      </c>
      <c r="B152" s="178" t="s">
        <v>392</v>
      </c>
      <c r="C152" s="16" t="s">
        <v>45</v>
      </c>
      <c r="D152" s="113" t="s">
        <v>107</v>
      </c>
      <c r="E152" s="112">
        <v>8</v>
      </c>
      <c r="F152" s="39">
        <f>VLOOKUP(H152,'PROJECT SUMMARY'!$C$26:$D$32,2,0)</f>
        <v>0</v>
      </c>
      <c r="G152" s="31">
        <f t="shared" si="61"/>
        <v>8</v>
      </c>
      <c r="H152" s="82" t="s">
        <v>10</v>
      </c>
      <c r="I152" s="110">
        <v>3.84</v>
      </c>
      <c r="J152" s="111">
        <f t="shared" si="62"/>
        <v>30.72</v>
      </c>
      <c r="K152" s="106">
        <v>52</v>
      </c>
      <c r="L152" s="106">
        <f t="shared" si="63"/>
        <v>1597.44</v>
      </c>
      <c r="M152" s="106">
        <v>640</v>
      </c>
      <c r="N152" s="106">
        <f t="shared" si="64"/>
        <v>5120</v>
      </c>
      <c r="O152" s="106">
        <f t="shared" si="65"/>
        <v>6717.4400000000005</v>
      </c>
      <c r="P152" s="46"/>
    </row>
    <row r="153" spans="1:16" x14ac:dyDescent="0.25">
      <c r="A153" s="109">
        <f>IF(G153&lt;&gt;"",1+MAX($A$13:A152),"")</f>
        <v>75</v>
      </c>
      <c r="B153" s="178" t="s">
        <v>392</v>
      </c>
      <c r="C153" s="16" t="s">
        <v>45</v>
      </c>
      <c r="D153" s="113" t="s">
        <v>108</v>
      </c>
      <c r="E153" s="112">
        <v>1</v>
      </c>
      <c r="F153" s="39">
        <f>VLOOKUP(H153,'PROJECT SUMMARY'!$C$26:$D$32,2,0)</f>
        <v>0</v>
      </c>
      <c r="G153" s="31">
        <f t="shared" si="61"/>
        <v>1</v>
      </c>
      <c r="H153" s="82" t="s">
        <v>10</v>
      </c>
      <c r="I153" s="110">
        <v>16.384</v>
      </c>
      <c r="J153" s="111">
        <f t="shared" si="62"/>
        <v>16.384</v>
      </c>
      <c r="K153" s="106">
        <v>52</v>
      </c>
      <c r="L153" s="106">
        <f t="shared" si="63"/>
        <v>851.96800000000007</v>
      </c>
      <c r="M153" s="106">
        <v>4096</v>
      </c>
      <c r="N153" s="106">
        <f t="shared" si="64"/>
        <v>4096</v>
      </c>
      <c r="O153" s="106">
        <f t="shared" si="65"/>
        <v>4947.9679999999998</v>
      </c>
      <c r="P153" s="46"/>
    </row>
    <row r="154" spans="1:16" x14ac:dyDescent="0.25">
      <c r="A154" s="109">
        <f>IF(G154&lt;&gt;"",1+MAX($A$13:A153),"")</f>
        <v>76</v>
      </c>
      <c r="B154" s="178" t="s">
        <v>392</v>
      </c>
      <c r="C154" s="16" t="s">
        <v>45</v>
      </c>
      <c r="D154" s="113" t="s">
        <v>109</v>
      </c>
      <c r="E154" s="112">
        <v>1</v>
      </c>
      <c r="F154" s="39">
        <f>VLOOKUP(H154,'PROJECT SUMMARY'!$C$26:$D$32,2,0)</f>
        <v>0</v>
      </c>
      <c r="G154" s="31">
        <f t="shared" si="61"/>
        <v>1</v>
      </c>
      <c r="H154" s="82" t="s">
        <v>10</v>
      </c>
      <c r="I154" s="110">
        <v>9.2160000000000011</v>
      </c>
      <c r="J154" s="111">
        <f t="shared" si="62"/>
        <v>9.2160000000000011</v>
      </c>
      <c r="K154" s="106">
        <v>52</v>
      </c>
      <c r="L154" s="106">
        <f t="shared" si="63"/>
        <v>479.23200000000008</v>
      </c>
      <c r="M154" s="106">
        <v>1536</v>
      </c>
      <c r="N154" s="106">
        <f t="shared" si="64"/>
        <v>1536</v>
      </c>
      <c r="O154" s="106">
        <f t="shared" si="65"/>
        <v>2015.232</v>
      </c>
      <c r="P154" s="46"/>
    </row>
    <row r="155" spans="1:16" x14ac:dyDescent="0.25">
      <c r="A155" s="109">
        <f>IF(G155&lt;&gt;"",1+MAX($A$13:A154),"")</f>
        <v>77</v>
      </c>
      <c r="B155" s="178" t="s">
        <v>392</v>
      </c>
      <c r="C155" s="16" t="s">
        <v>45</v>
      </c>
      <c r="D155" s="113" t="s">
        <v>110</v>
      </c>
      <c r="E155" s="112">
        <v>2</v>
      </c>
      <c r="F155" s="39">
        <f>VLOOKUP(H155,'PROJECT SUMMARY'!$C$26:$D$32,2,0)</f>
        <v>0</v>
      </c>
      <c r="G155" s="31">
        <f t="shared" si="61"/>
        <v>2</v>
      </c>
      <c r="H155" s="82" t="s">
        <v>10</v>
      </c>
      <c r="I155" s="110">
        <v>11.200000000000001</v>
      </c>
      <c r="J155" s="111">
        <f t="shared" si="62"/>
        <v>22.400000000000002</v>
      </c>
      <c r="K155" s="106">
        <v>52</v>
      </c>
      <c r="L155" s="106">
        <f t="shared" si="63"/>
        <v>1164.8000000000002</v>
      </c>
      <c r="M155" s="106">
        <v>2240</v>
      </c>
      <c r="N155" s="106">
        <f t="shared" si="64"/>
        <v>4480</v>
      </c>
      <c r="O155" s="106">
        <f t="shared" si="65"/>
        <v>5644.8</v>
      </c>
      <c r="P155" s="46"/>
    </row>
    <row r="156" spans="1:16" x14ac:dyDescent="0.25">
      <c r="A156" s="109">
        <f>IF(G156&lt;&gt;"",1+MAX($A$13:A155),"")</f>
        <v>78</v>
      </c>
      <c r="B156" s="178" t="s">
        <v>392</v>
      </c>
      <c r="C156" s="16" t="s">
        <v>45</v>
      </c>
      <c r="D156" s="113" t="s">
        <v>111</v>
      </c>
      <c r="E156" s="112">
        <v>1</v>
      </c>
      <c r="F156" s="39">
        <f>VLOOKUP(H156,'PROJECT SUMMARY'!$C$26:$D$32,2,0)</f>
        <v>0</v>
      </c>
      <c r="G156" s="31">
        <f t="shared" si="61"/>
        <v>1</v>
      </c>
      <c r="H156" s="82" t="s">
        <v>10</v>
      </c>
      <c r="I156" s="110">
        <v>16.384</v>
      </c>
      <c r="J156" s="111">
        <f t="shared" si="62"/>
        <v>16.384</v>
      </c>
      <c r="K156" s="106">
        <v>52</v>
      </c>
      <c r="L156" s="106">
        <f t="shared" si="63"/>
        <v>851.96800000000007</v>
      </c>
      <c r="M156" s="106">
        <v>4096</v>
      </c>
      <c r="N156" s="106">
        <f t="shared" si="64"/>
        <v>4096</v>
      </c>
      <c r="O156" s="106">
        <f t="shared" si="65"/>
        <v>4947.9679999999998</v>
      </c>
      <c r="P156" s="46"/>
    </row>
    <row r="157" spans="1:16" x14ac:dyDescent="0.25">
      <c r="A157" s="109" t="str">
        <f>IF(G157&lt;&gt;"",1+MAX($A$13:A156),"")</f>
        <v/>
      </c>
      <c r="H157" s="82"/>
      <c r="I157" s="110"/>
      <c r="J157" s="111"/>
      <c r="K157" s="106"/>
      <c r="L157" s="106"/>
      <c r="M157" s="106"/>
      <c r="N157" s="106"/>
      <c r="O157" s="106"/>
      <c r="P157" s="46"/>
    </row>
    <row r="158" spans="1:16" x14ac:dyDescent="0.25">
      <c r="A158" s="109" t="str">
        <f>IF(G158&lt;&gt;"",1+MAX($A$13:A157),"")</f>
        <v/>
      </c>
      <c r="D158" s="58" t="s">
        <v>48</v>
      </c>
      <c r="H158" s="82"/>
      <c r="I158" s="110"/>
      <c r="J158" s="111"/>
      <c r="K158" s="106"/>
      <c r="L158" s="106"/>
      <c r="M158" s="106"/>
      <c r="N158" s="106"/>
      <c r="O158" s="106"/>
      <c r="P158" s="46"/>
    </row>
    <row r="159" spans="1:16" x14ac:dyDescent="0.25">
      <c r="A159" s="109">
        <f>IF(G159&lt;&gt;"",1+MAX($A$13:A158),"")</f>
        <v>79</v>
      </c>
      <c r="C159" s="16" t="s">
        <v>45</v>
      </c>
      <c r="D159" s="113" t="s">
        <v>112</v>
      </c>
      <c r="E159" s="112">
        <v>37</v>
      </c>
      <c r="F159" s="39">
        <f>VLOOKUP(H159,'PROJECT SUMMARY'!$C$26:$D$32,2,0)</f>
        <v>0</v>
      </c>
      <c r="G159" s="31">
        <f t="shared" si="61"/>
        <v>37</v>
      </c>
      <c r="H159" s="82" t="s">
        <v>10</v>
      </c>
      <c r="I159" s="110">
        <v>2</v>
      </c>
      <c r="J159" s="111">
        <f t="shared" ref="J159" si="66">I159*G159</f>
        <v>74</v>
      </c>
      <c r="K159" s="106">
        <v>52</v>
      </c>
      <c r="L159" s="106">
        <f t="shared" ref="L159" si="67">K159*J159</f>
        <v>3848</v>
      </c>
      <c r="M159" s="106">
        <v>350</v>
      </c>
      <c r="N159" s="106">
        <f t="shared" si="64"/>
        <v>12950</v>
      </c>
      <c r="O159" s="106">
        <f t="shared" si="65"/>
        <v>16798</v>
      </c>
      <c r="P159" s="46"/>
    </row>
    <row r="160" spans="1:16" s="81" customFormat="1" x14ac:dyDescent="0.25">
      <c r="A160" s="109" t="str">
        <f>IF(G160&lt;&gt;"",1+MAX($A$13:A159),"")</f>
        <v/>
      </c>
      <c r="B160" s="82"/>
      <c r="C160" s="82"/>
      <c r="E160" s="31"/>
      <c r="F160" s="39"/>
      <c r="G160" s="31"/>
      <c r="H160" s="82"/>
      <c r="I160" s="110"/>
      <c r="J160" s="111"/>
      <c r="K160" s="106"/>
      <c r="L160" s="106"/>
      <c r="M160" s="106"/>
      <c r="N160" s="106"/>
      <c r="O160" s="106"/>
      <c r="P160" s="46"/>
    </row>
    <row r="161" spans="1:16" s="81" customFormat="1" x14ac:dyDescent="0.25">
      <c r="A161" s="109" t="str">
        <f>IF(G161&lt;&gt;"",1+MAX($A$13:A160),"")</f>
        <v/>
      </c>
      <c r="B161" s="82"/>
      <c r="C161" s="82"/>
      <c r="D161" s="58" t="s">
        <v>49</v>
      </c>
      <c r="E161" s="31"/>
      <c r="F161" s="39"/>
      <c r="G161" s="31"/>
      <c r="H161" s="82"/>
      <c r="I161" s="110"/>
      <c r="J161" s="111"/>
      <c r="K161" s="106"/>
      <c r="L161" s="106"/>
      <c r="M161" s="106"/>
      <c r="N161" s="106"/>
      <c r="O161" s="106"/>
      <c r="P161" s="46"/>
    </row>
    <row r="162" spans="1:16" s="81" customFormat="1" x14ac:dyDescent="0.25">
      <c r="A162" s="109">
        <f>IF(G162&lt;&gt;"",1+MAX($A$13:A161),"")</f>
        <v>80</v>
      </c>
      <c r="B162" s="82" t="s">
        <v>391</v>
      </c>
      <c r="C162" s="178" t="s">
        <v>45</v>
      </c>
      <c r="D162" s="113" t="s">
        <v>113</v>
      </c>
      <c r="E162" s="112">
        <v>2</v>
      </c>
      <c r="F162" s="39">
        <f>VLOOKUP(H162,'PROJECT SUMMARY'!$C$26:$D$32,2,0)</f>
        <v>0</v>
      </c>
      <c r="G162" s="31">
        <f>E162*(1+F162)</f>
        <v>2</v>
      </c>
      <c r="H162" s="82" t="s">
        <v>10</v>
      </c>
      <c r="I162" s="110">
        <v>6</v>
      </c>
      <c r="J162" s="111">
        <f>I162*G162</f>
        <v>12</v>
      </c>
      <c r="K162" s="106">
        <v>52</v>
      </c>
      <c r="L162" s="106">
        <f>K162*J162</f>
        <v>624</v>
      </c>
      <c r="M162" s="106">
        <v>750</v>
      </c>
      <c r="N162" s="106">
        <f>M162*G162</f>
        <v>1500</v>
      </c>
      <c r="O162" s="106">
        <f>L162+N162</f>
        <v>2124</v>
      </c>
      <c r="P162" s="46"/>
    </row>
    <row r="163" spans="1:16" s="118" customFormat="1" x14ac:dyDescent="0.25">
      <c r="A163" s="109">
        <f>IF(G163&lt;&gt;"",1+MAX($A$13:A162),"")</f>
        <v>81</v>
      </c>
      <c r="B163" s="178" t="s">
        <v>391</v>
      </c>
      <c r="C163" s="178" t="s">
        <v>45</v>
      </c>
      <c r="D163" s="113" t="s">
        <v>114</v>
      </c>
      <c r="E163" s="112">
        <v>1</v>
      </c>
      <c r="F163" s="107">
        <f>VLOOKUP(H163,'PROJECT SUMMARY'!$C$26:$D$32,2,0)</f>
        <v>0</v>
      </c>
      <c r="G163" s="112">
        <f t="shared" ref="G163:G179" si="68">E163*(1+F163)</f>
        <v>1</v>
      </c>
      <c r="H163" s="119" t="s">
        <v>10</v>
      </c>
      <c r="I163" s="110">
        <v>6</v>
      </c>
      <c r="J163" s="111">
        <f t="shared" ref="J163:J179" si="69">I163*G163</f>
        <v>6</v>
      </c>
      <c r="K163" s="106">
        <v>52</v>
      </c>
      <c r="L163" s="106">
        <f t="shared" ref="L163:L179" si="70">K163*J163</f>
        <v>312</v>
      </c>
      <c r="M163" s="106">
        <v>750</v>
      </c>
      <c r="N163" s="106">
        <f t="shared" ref="N163:N179" si="71">M163*G163</f>
        <v>750</v>
      </c>
      <c r="O163" s="106">
        <f t="shared" ref="O163:O179" si="72">L163+N163</f>
        <v>1062</v>
      </c>
      <c r="P163" s="108"/>
    </row>
    <row r="164" spans="1:16" s="118" customFormat="1" x14ac:dyDescent="0.25">
      <c r="A164" s="109">
        <f>IF(G164&lt;&gt;"",1+MAX($A$13:A163),"")</f>
        <v>82</v>
      </c>
      <c r="B164" s="178" t="s">
        <v>391</v>
      </c>
      <c r="C164" s="178" t="s">
        <v>45</v>
      </c>
      <c r="D164" s="113" t="s">
        <v>115</v>
      </c>
      <c r="E164" s="112">
        <v>5</v>
      </c>
      <c r="F164" s="107">
        <f>VLOOKUP(H164,'PROJECT SUMMARY'!$C$26:$D$32,2,0)</f>
        <v>0</v>
      </c>
      <c r="G164" s="112">
        <f t="shared" si="68"/>
        <v>5</v>
      </c>
      <c r="H164" s="119" t="s">
        <v>10</v>
      </c>
      <c r="I164" s="110">
        <v>6.4</v>
      </c>
      <c r="J164" s="111">
        <f t="shared" si="69"/>
        <v>32</v>
      </c>
      <c r="K164" s="106">
        <v>52</v>
      </c>
      <c r="L164" s="106">
        <f t="shared" si="70"/>
        <v>1664</v>
      </c>
      <c r="M164" s="106">
        <v>800</v>
      </c>
      <c r="N164" s="106">
        <f t="shared" si="71"/>
        <v>4000</v>
      </c>
      <c r="O164" s="106">
        <f t="shared" si="72"/>
        <v>5664</v>
      </c>
      <c r="P164" s="108"/>
    </row>
    <row r="165" spans="1:16" s="118" customFormat="1" x14ac:dyDescent="0.25">
      <c r="A165" s="109">
        <f>IF(G165&lt;&gt;"",1+MAX($A$13:A164),"")</f>
        <v>83</v>
      </c>
      <c r="B165" s="178" t="s">
        <v>391</v>
      </c>
      <c r="C165" s="178" t="s">
        <v>45</v>
      </c>
      <c r="D165" s="113" t="s">
        <v>116</v>
      </c>
      <c r="E165" s="112">
        <v>3</v>
      </c>
      <c r="F165" s="107">
        <f>VLOOKUP(H165,'PROJECT SUMMARY'!$C$26:$D$32,2,0)</f>
        <v>0</v>
      </c>
      <c r="G165" s="112">
        <f t="shared" si="68"/>
        <v>3</v>
      </c>
      <c r="H165" s="119" t="s">
        <v>10</v>
      </c>
      <c r="I165" s="110">
        <v>3.6</v>
      </c>
      <c r="J165" s="111">
        <f t="shared" si="69"/>
        <v>10.8</v>
      </c>
      <c r="K165" s="106">
        <v>52</v>
      </c>
      <c r="L165" s="106">
        <f t="shared" si="70"/>
        <v>561.6</v>
      </c>
      <c r="M165" s="106">
        <v>450</v>
      </c>
      <c r="N165" s="106">
        <f t="shared" si="71"/>
        <v>1350</v>
      </c>
      <c r="O165" s="106">
        <f t="shared" si="72"/>
        <v>1911.6</v>
      </c>
      <c r="P165" s="108"/>
    </row>
    <row r="166" spans="1:16" s="118" customFormat="1" x14ac:dyDescent="0.25">
      <c r="A166" s="109">
        <f>IF(G166&lt;&gt;"",1+MAX($A$13:A165),"")</f>
        <v>84</v>
      </c>
      <c r="B166" s="178" t="s">
        <v>391</v>
      </c>
      <c r="C166" s="178" t="s">
        <v>45</v>
      </c>
      <c r="D166" s="113" t="s">
        <v>117</v>
      </c>
      <c r="E166" s="112">
        <v>1</v>
      </c>
      <c r="F166" s="107">
        <f>VLOOKUP(H166,'PROJECT SUMMARY'!$C$26:$D$32,2,0)</f>
        <v>0</v>
      </c>
      <c r="G166" s="112">
        <f t="shared" si="68"/>
        <v>1</v>
      </c>
      <c r="H166" s="119" t="s">
        <v>10</v>
      </c>
      <c r="I166" s="110">
        <v>2.8000000000000003</v>
      </c>
      <c r="J166" s="111">
        <f t="shared" si="69"/>
        <v>2.8000000000000003</v>
      </c>
      <c r="K166" s="106">
        <v>52</v>
      </c>
      <c r="L166" s="106">
        <f t="shared" si="70"/>
        <v>145.60000000000002</v>
      </c>
      <c r="M166" s="106">
        <v>350</v>
      </c>
      <c r="N166" s="106">
        <f t="shared" si="71"/>
        <v>350</v>
      </c>
      <c r="O166" s="106">
        <f t="shared" si="72"/>
        <v>495.6</v>
      </c>
      <c r="P166" s="108"/>
    </row>
    <row r="167" spans="1:16" s="118" customFormat="1" x14ac:dyDescent="0.25">
      <c r="A167" s="109">
        <f>IF(G167&lt;&gt;"",1+MAX($A$13:A166),"")</f>
        <v>85</v>
      </c>
      <c r="B167" s="178" t="s">
        <v>391</v>
      </c>
      <c r="C167" s="178" t="s">
        <v>45</v>
      </c>
      <c r="D167" s="113" t="s">
        <v>118</v>
      </c>
      <c r="E167" s="112">
        <v>2</v>
      </c>
      <c r="F167" s="107">
        <f>VLOOKUP(H167,'PROJECT SUMMARY'!$C$26:$D$32,2,0)</f>
        <v>0</v>
      </c>
      <c r="G167" s="112">
        <f t="shared" si="68"/>
        <v>2</v>
      </c>
      <c r="H167" s="119" t="s">
        <v>10</v>
      </c>
      <c r="I167" s="110">
        <v>4.6000000000000005</v>
      </c>
      <c r="J167" s="111">
        <f t="shared" si="69"/>
        <v>9.2000000000000011</v>
      </c>
      <c r="K167" s="106">
        <v>52</v>
      </c>
      <c r="L167" s="106">
        <f t="shared" si="70"/>
        <v>478.40000000000003</v>
      </c>
      <c r="M167" s="106">
        <v>575</v>
      </c>
      <c r="N167" s="106">
        <f t="shared" si="71"/>
        <v>1150</v>
      </c>
      <c r="O167" s="106">
        <f t="shared" si="72"/>
        <v>1628.4</v>
      </c>
      <c r="P167" s="108"/>
    </row>
    <row r="168" spans="1:16" s="118" customFormat="1" x14ac:dyDescent="0.25">
      <c r="A168" s="109">
        <f>IF(G168&lt;&gt;"",1+MAX($A$13:A167),"")</f>
        <v>86</v>
      </c>
      <c r="B168" s="178" t="s">
        <v>391</v>
      </c>
      <c r="C168" s="178" t="s">
        <v>45</v>
      </c>
      <c r="D168" s="113" t="s">
        <v>119</v>
      </c>
      <c r="E168" s="112">
        <v>3</v>
      </c>
      <c r="F168" s="107">
        <f>VLOOKUP(H168,'PROJECT SUMMARY'!$C$26:$D$32,2,0)</f>
        <v>0</v>
      </c>
      <c r="G168" s="112">
        <f t="shared" si="68"/>
        <v>3</v>
      </c>
      <c r="H168" s="119" t="s">
        <v>10</v>
      </c>
      <c r="I168" s="110">
        <v>6.2720000000000002</v>
      </c>
      <c r="J168" s="111">
        <f t="shared" si="69"/>
        <v>18.816000000000003</v>
      </c>
      <c r="K168" s="106">
        <v>52</v>
      </c>
      <c r="L168" s="106">
        <f t="shared" si="70"/>
        <v>978.43200000000013</v>
      </c>
      <c r="M168" s="106">
        <v>784</v>
      </c>
      <c r="N168" s="106">
        <f t="shared" si="71"/>
        <v>2352</v>
      </c>
      <c r="O168" s="106">
        <f t="shared" si="72"/>
        <v>3330.4320000000002</v>
      </c>
      <c r="P168" s="108"/>
    </row>
    <row r="169" spans="1:16" s="118" customFormat="1" x14ac:dyDescent="0.25">
      <c r="A169" s="109">
        <f>IF(G169&lt;&gt;"",1+MAX($A$13:A168),"")</f>
        <v>87</v>
      </c>
      <c r="B169" s="178" t="s">
        <v>391</v>
      </c>
      <c r="C169" s="178" t="s">
        <v>45</v>
      </c>
      <c r="D169" s="113" t="s">
        <v>120</v>
      </c>
      <c r="E169" s="112">
        <v>1</v>
      </c>
      <c r="F169" s="107">
        <f>VLOOKUP(H169,'PROJECT SUMMARY'!$C$26:$D$32,2,0)</f>
        <v>0</v>
      </c>
      <c r="G169" s="112">
        <f t="shared" si="68"/>
        <v>1</v>
      </c>
      <c r="H169" s="119" t="s">
        <v>10</v>
      </c>
      <c r="I169" s="110">
        <v>9.6</v>
      </c>
      <c r="J169" s="111">
        <f t="shared" si="69"/>
        <v>9.6</v>
      </c>
      <c r="K169" s="106">
        <v>52</v>
      </c>
      <c r="L169" s="106">
        <f t="shared" si="70"/>
        <v>499.2</v>
      </c>
      <c r="M169" s="106">
        <v>1200</v>
      </c>
      <c r="N169" s="106">
        <f t="shared" si="71"/>
        <v>1200</v>
      </c>
      <c r="O169" s="106">
        <f t="shared" si="72"/>
        <v>1699.2</v>
      </c>
      <c r="P169" s="108"/>
    </row>
    <row r="170" spans="1:16" s="118" customFormat="1" x14ac:dyDescent="0.25">
      <c r="A170" s="109">
        <f>IF(G170&lt;&gt;"",1+MAX($A$13:A169),"")</f>
        <v>88</v>
      </c>
      <c r="B170" s="178" t="s">
        <v>391</v>
      </c>
      <c r="C170" s="178" t="s">
        <v>45</v>
      </c>
      <c r="D170" s="113" t="s">
        <v>121</v>
      </c>
      <c r="E170" s="112">
        <v>4</v>
      </c>
      <c r="F170" s="107">
        <f>VLOOKUP(H170,'PROJECT SUMMARY'!$C$26:$D$32,2,0)</f>
        <v>0</v>
      </c>
      <c r="G170" s="112">
        <f t="shared" si="68"/>
        <v>4</v>
      </c>
      <c r="H170" s="119" t="s">
        <v>10</v>
      </c>
      <c r="I170" s="110">
        <v>7.2</v>
      </c>
      <c r="J170" s="111">
        <f t="shared" si="69"/>
        <v>28.8</v>
      </c>
      <c r="K170" s="106">
        <v>52</v>
      </c>
      <c r="L170" s="106">
        <f t="shared" si="70"/>
        <v>1497.6000000000001</v>
      </c>
      <c r="M170" s="106">
        <v>900</v>
      </c>
      <c r="N170" s="106">
        <f t="shared" si="71"/>
        <v>3600</v>
      </c>
      <c r="O170" s="106">
        <f t="shared" si="72"/>
        <v>5097.6000000000004</v>
      </c>
      <c r="P170" s="108"/>
    </row>
    <row r="171" spans="1:16" s="118" customFormat="1" x14ac:dyDescent="0.25">
      <c r="A171" s="109">
        <f>IF(G171&lt;&gt;"",1+MAX($A$13:A170),"")</f>
        <v>89</v>
      </c>
      <c r="B171" s="178" t="s">
        <v>391</v>
      </c>
      <c r="C171" s="178" t="s">
        <v>45</v>
      </c>
      <c r="D171" s="113" t="s">
        <v>122</v>
      </c>
      <c r="E171" s="112">
        <v>2</v>
      </c>
      <c r="F171" s="107">
        <f>VLOOKUP(H171,'PROJECT SUMMARY'!$C$26:$D$32,2,0)</f>
        <v>0</v>
      </c>
      <c r="G171" s="112">
        <f t="shared" si="68"/>
        <v>2</v>
      </c>
      <c r="H171" s="119" t="s">
        <v>10</v>
      </c>
      <c r="I171" s="110">
        <v>2.8000000000000003</v>
      </c>
      <c r="J171" s="111">
        <f t="shared" si="69"/>
        <v>5.6000000000000005</v>
      </c>
      <c r="K171" s="106">
        <v>52</v>
      </c>
      <c r="L171" s="106">
        <f t="shared" si="70"/>
        <v>291.20000000000005</v>
      </c>
      <c r="M171" s="106">
        <v>350</v>
      </c>
      <c r="N171" s="106">
        <f t="shared" si="71"/>
        <v>700</v>
      </c>
      <c r="O171" s="106">
        <f t="shared" si="72"/>
        <v>991.2</v>
      </c>
      <c r="P171" s="108"/>
    </row>
    <row r="172" spans="1:16" s="118" customFormat="1" x14ac:dyDescent="0.25">
      <c r="A172" s="109">
        <f>IF(G172&lt;&gt;"",1+MAX($A$13:A171),"")</f>
        <v>90</v>
      </c>
      <c r="B172" s="178" t="s">
        <v>391</v>
      </c>
      <c r="C172" s="178" t="s">
        <v>45</v>
      </c>
      <c r="D172" s="113" t="s">
        <v>123</v>
      </c>
      <c r="E172" s="112">
        <v>2</v>
      </c>
      <c r="F172" s="107">
        <f>VLOOKUP(H172,'PROJECT SUMMARY'!$C$26:$D$32,2,0)</f>
        <v>0</v>
      </c>
      <c r="G172" s="112">
        <f t="shared" si="68"/>
        <v>2</v>
      </c>
      <c r="H172" s="119" t="s">
        <v>10</v>
      </c>
      <c r="I172" s="110">
        <v>5.6000000000000005</v>
      </c>
      <c r="J172" s="111">
        <f t="shared" si="69"/>
        <v>11.200000000000001</v>
      </c>
      <c r="K172" s="106">
        <v>52</v>
      </c>
      <c r="L172" s="106">
        <f t="shared" si="70"/>
        <v>582.40000000000009</v>
      </c>
      <c r="M172" s="106">
        <v>700</v>
      </c>
      <c r="N172" s="106">
        <f t="shared" si="71"/>
        <v>1400</v>
      </c>
      <c r="O172" s="106">
        <f t="shared" si="72"/>
        <v>1982.4</v>
      </c>
      <c r="P172" s="108"/>
    </row>
    <row r="173" spans="1:16" s="118" customFormat="1" x14ac:dyDescent="0.25">
      <c r="A173" s="109">
        <f>IF(G173&lt;&gt;"",1+MAX($A$13:A172),"")</f>
        <v>91</v>
      </c>
      <c r="B173" s="178" t="s">
        <v>391</v>
      </c>
      <c r="C173" s="178" t="s">
        <v>45</v>
      </c>
      <c r="D173" s="113" t="s">
        <v>124</v>
      </c>
      <c r="E173" s="112">
        <v>2</v>
      </c>
      <c r="F173" s="107">
        <f>VLOOKUP(H173,'PROJECT SUMMARY'!$C$26:$D$32,2,0)</f>
        <v>0</v>
      </c>
      <c r="G173" s="112">
        <f t="shared" si="68"/>
        <v>2</v>
      </c>
      <c r="H173" s="119" t="s">
        <v>10</v>
      </c>
      <c r="I173" s="110">
        <v>5.6000000000000005</v>
      </c>
      <c r="J173" s="111">
        <f t="shared" si="69"/>
        <v>11.200000000000001</v>
      </c>
      <c r="K173" s="106">
        <v>52</v>
      </c>
      <c r="L173" s="106">
        <f t="shared" si="70"/>
        <v>582.40000000000009</v>
      </c>
      <c r="M173" s="106">
        <v>700</v>
      </c>
      <c r="N173" s="106">
        <f t="shared" si="71"/>
        <v>1400</v>
      </c>
      <c r="O173" s="106">
        <f t="shared" si="72"/>
        <v>1982.4</v>
      </c>
      <c r="P173" s="108"/>
    </row>
    <row r="174" spans="1:16" s="118" customFormat="1" x14ac:dyDescent="0.25">
      <c r="A174" s="109">
        <f>IF(G174&lt;&gt;"",1+MAX($A$13:A173),"")</f>
        <v>92</v>
      </c>
      <c r="B174" s="178" t="s">
        <v>391</v>
      </c>
      <c r="C174" s="178" t="s">
        <v>45</v>
      </c>
      <c r="D174" s="113" t="s">
        <v>125</v>
      </c>
      <c r="E174" s="112">
        <v>2</v>
      </c>
      <c r="F174" s="107">
        <f>VLOOKUP(H174,'PROJECT SUMMARY'!$C$26:$D$32,2,0)</f>
        <v>0</v>
      </c>
      <c r="G174" s="112">
        <f t="shared" si="68"/>
        <v>2</v>
      </c>
      <c r="H174" s="119" t="s">
        <v>10</v>
      </c>
      <c r="I174" s="110">
        <v>2.8000000000000003</v>
      </c>
      <c r="J174" s="111">
        <f t="shared" si="69"/>
        <v>5.6000000000000005</v>
      </c>
      <c r="K174" s="106">
        <v>52</v>
      </c>
      <c r="L174" s="106">
        <f t="shared" si="70"/>
        <v>291.20000000000005</v>
      </c>
      <c r="M174" s="106">
        <v>350</v>
      </c>
      <c r="N174" s="106">
        <f t="shared" si="71"/>
        <v>700</v>
      </c>
      <c r="O174" s="106">
        <f t="shared" si="72"/>
        <v>991.2</v>
      </c>
      <c r="P174" s="108"/>
    </row>
    <row r="175" spans="1:16" s="118" customFormat="1" x14ac:dyDescent="0.25">
      <c r="A175" s="109">
        <f>IF(G175&lt;&gt;"",1+MAX($A$13:A174),"")</f>
        <v>93</v>
      </c>
      <c r="B175" s="178" t="s">
        <v>391</v>
      </c>
      <c r="C175" s="178" t="s">
        <v>45</v>
      </c>
      <c r="D175" s="113" t="s">
        <v>126</v>
      </c>
      <c r="E175" s="112">
        <v>2</v>
      </c>
      <c r="F175" s="107">
        <f>VLOOKUP(H175,'PROJECT SUMMARY'!$C$26:$D$32,2,0)</f>
        <v>0</v>
      </c>
      <c r="G175" s="112">
        <f t="shared" si="68"/>
        <v>2</v>
      </c>
      <c r="H175" s="119" t="s">
        <v>10</v>
      </c>
      <c r="I175" s="110">
        <v>5.25</v>
      </c>
      <c r="J175" s="111">
        <f t="shared" si="69"/>
        <v>10.5</v>
      </c>
      <c r="K175" s="106">
        <v>52</v>
      </c>
      <c r="L175" s="106">
        <f t="shared" si="70"/>
        <v>546</v>
      </c>
      <c r="M175" s="106">
        <v>656.25</v>
      </c>
      <c r="N175" s="106">
        <f t="shared" si="71"/>
        <v>1312.5</v>
      </c>
      <c r="O175" s="106">
        <f t="shared" si="72"/>
        <v>1858.5</v>
      </c>
      <c r="P175" s="108"/>
    </row>
    <row r="176" spans="1:16" s="118" customFormat="1" x14ac:dyDescent="0.25">
      <c r="A176" s="109">
        <f>IF(G176&lt;&gt;"",1+MAX($A$13:A175),"")</f>
        <v>94</v>
      </c>
      <c r="B176" s="178" t="s">
        <v>391</v>
      </c>
      <c r="C176" s="178" t="s">
        <v>45</v>
      </c>
      <c r="D176" s="113" t="s">
        <v>127</v>
      </c>
      <c r="E176" s="112">
        <v>1</v>
      </c>
      <c r="F176" s="107">
        <f>VLOOKUP(H176,'PROJECT SUMMARY'!$C$26:$D$32,2,0)</f>
        <v>0</v>
      </c>
      <c r="G176" s="112">
        <f t="shared" si="68"/>
        <v>1</v>
      </c>
      <c r="H176" s="119" t="s">
        <v>10</v>
      </c>
      <c r="I176" s="110">
        <v>7</v>
      </c>
      <c r="J176" s="111">
        <f t="shared" si="69"/>
        <v>7</v>
      </c>
      <c r="K176" s="106">
        <v>52</v>
      </c>
      <c r="L176" s="106">
        <f t="shared" si="70"/>
        <v>364</v>
      </c>
      <c r="M176" s="106">
        <v>875</v>
      </c>
      <c r="N176" s="106">
        <f t="shared" si="71"/>
        <v>875</v>
      </c>
      <c r="O176" s="106">
        <f t="shared" si="72"/>
        <v>1239</v>
      </c>
      <c r="P176" s="108"/>
    </row>
    <row r="177" spans="1:16" s="118" customFormat="1" x14ac:dyDescent="0.25">
      <c r="A177" s="109">
        <f>IF(G177&lt;&gt;"",1+MAX($A$13:A176),"")</f>
        <v>95</v>
      </c>
      <c r="B177" s="178" t="s">
        <v>391</v>
      </c>
      <c r="C177" s="178" t="s">
        <v>45</v>
      </c>
      <c r="D177" s="113" t="s">
        <v>128</v>
      </c>
      <c r="E177" s="112">
        <v>1</v>
      </c>
      <c r="F177" s="107">
        <f>VLOOKUP(H177,'PROJECT SUMMARY'!$C$26:$D$32,2,0)</f>
        <v>0</v>
      </c>
      <c r="G177" s="112">
        <f t="shared" si="68"/>
        <v>1</v>
      </c>
      <c r="H177" s="119" t="s">
        <v>10</v>
      </c>
      <c r="I177" s="110">
        <v>8.0500000000000007</v>
      </c>
      <c r="J177" s="111">
        <f t="shared" si="69"/>
        <v>8.0500000000000007</v>
      </c>
      <c r="K177" s="106">
        <v>52</v>
      </c>
      <c r="L177" s="106">
        <f t="shared" si="70"/>
        <v>418.6</v>
      </c>
      <c r="M177" s="106">
        <v>1006.25</v>
      </c>
      <c r="N177" s="106">
        <f t="shared" si="71"/>
        <v>1006.25</v>
      </c>
      <c r="O177" s="106">
        <f t="shared" si="72"/>
        <v>1424.85</v>
      </c>
      <c r="P177" s="108"/>
    </row>
    <row r="178" spans="1:16" s="118" customFormat="1" x14ac:dyDescent="0.25">
      <c r="A178" s="109">
        <f>IF(G178&lt;&gt;"",1+MAX($A$13:A177),"")</f>
        <v>96</v>
      </c>
      <c r="B178" s="178" t="s">
        <v>391</v>
      </c>
      <c r="C178" s="178" t="s">
        <v>45</v>
      </c>
      <c r="D178" s="113" t="s">
        <v>129</v>
      </c>
      <c r="E178" s="112">
        <v>1</v>
      </c>
      <c r="F178" s="107">
        <f>VLOOKUP(H178,'PROJECT SUMMARY'!$C$26:$D$32,2,0)</f>
        <v>0</v>
      </c>
      <c r="G178" s="112">
        <f t="shared" si="68"/>
        <v>1</v>
      </c>
      <c r="H178" s="119" t="s">
        <v>10</v>
      </c>
      <c r="I178" s="110">
        <v>3.8679999999999999</v>
      </c>
      <c r="J178" s="111">
        <f t="shared" si="69"/>
        <v>3.8679999999999999</v>
      </c>
      <c r="K178" s="106">
        <v>52</v>
      </c>
      <c r="L178" s="106">
        <f t="shared" si="70"/>
        <v>201.136</v>
      </c>
      <c r="M178" s="106">
        <v>483.5</v>
      </c>
      <c r="N178" s="106">
        <f t="shared" si="71"/>
        <v>483.5</v>
      </c>
      <c r="O178" s="106">
        <f t="shared" si="72"/>
        <v>684.63599999999997</v>
      </c>
      <c r="P178" s="108"/>
    </row>
    <row r="179" spans="1:16" s="118" customFormat="1" x14ac:dyDescent="0.25">
      <c r="A179" s="109">
        <f>IF(G179&lt;&gt;"",1+MAX($A$13:A178),"")</f>
        <v>97</v>
      </c>
      <c r="B179" s="178" t="s">
        <v>391</v>
      </c>
      <c r="C179" s="178" t="s">
        <v>45</v>
      </c>
      <c r="D179" s="113" t="s">
        <v>130</v>
      </c>
      <c r="E179" s="112">
        <v>1</v>
      </c>
      <c r="F179" s="107">
        <f>VLOOKUP(H179,'PROJECT SUMMARY'!$C$26:$D$32,2,0)</f>
        <v>0</v>
      </c>
      <c r="G179" s="112">
        <f t="shared" si="68"/>
        <v>1</v>
      </c>
      <c r="H179" s="119" t="s">
        <v>10</v>
      </c>
      <c r="I179" s="110">
        <v>2</v>
      </c>
      <c r="J179" s="111">
        <f t="shared" si="69"/>
        <v>2</v>
      </c>
      <c r="K179" s="106">
        <v>52</v>
      </c>
      <c r="L179" s="106">
        <f t="shared" si="70"/>
        <v>104</v>
      </c>
      <c r="M179" s="106">
        <v>150</v>
      </c>
      <c r="N179" s="106">
        <f t="shared" si="71"/>
        <v>150</v>
      </c>
      <c r="O179" s="106">
        <f t="shared" si="72"/>
        <v>254</v>
      </c>
      <c r="P179" s="108"/>
    </row>
    <row r="180" spans="1:16" ht="16.5" thickBot="1" x14ac:dyDescent="0.3">
      <c r="A180" s="109" t="str">
        <f>IF(G180&lt;&gt;"",1+MAX($A$13:A179),"")</f>
        <v/>
      </c>
      <c r="H180" s="82"/>
      <c r="P180" s="46"/>
    </row>
    <row r="181" spans="1:16" s="81" customFormat="1" ht="16.5" thickBot="1" x14ac:dyDescent="0.3">
      <c r="A181" s="89" t="str">
        <f>IF(G181&lt;&gt;"",1+MAX($A$13:A180),"")</f>
        <v/>
      </c>
      <c r="B181" s="85"/>
      <c r="C181" s="85" t="s">
        <v>50</v>
      </c>
      <c r="D181" s="83" t="s">
        <v>51</v>
      </c>
      <c r="E181" s="87"/>
      <c r="F181" s="88"/>
      <c r="G181" s="87"/>
      <c r="H181" s="87"/>
      <c r="I181" s="83"/>
      <c r="J181" s="83"/>
      <c r="K181" s="84"/>
      <c r="L181" s="84"/>
      <c r="M181" s="84"/>
      <c r="N181" s="84"/>
      <c r="O181" s="86"/>
      <c r="P181" s="90">
        <f>SUM(O182:O524)</f>
        <v>361882.55009642657</v>
      </c>
    </row>
    <row r="182" spans="1:16" x14ac:dyDescent="0.25">
      <c r="A182" s="109" t="str">
        <f>IF(G182&lt;&gt;"",1+MAX($A$13:A181),"")</f>
        <v/>
      </c>
      <c r="H182" s="82"/>
      <c r="P182" s="46"/>
    </row>
    <row r="183" spans="1:16" ht="18.75" x14ac:dyDescent="0.25">
      <c r="A183" s="109" t="str">
        <f>IF(G183&lt;&gt;"",1+MAX($A$13:A182),"")</f>
        <v/>
      </c>
      <c r="D183" s="78" t="s">
        <v>52</v>
      </c>
      <c r="H183" s="82"/>
      <c r="P183" s="46"/>
    </row>
    <row r="184" spans="1:16" s="177" customFormat="1" x14ac:dyDescent="0.25">
      <c r="A184" s="109" t="str">
        <f>IF(G184&lt;&gt;"",1+MAX($A$13:A183),"")</f>
        <v/>
      </c>
      <c r="B184" s="178"/>
      <c r="C184" s="178"/>
      <c r="E184" s="112"/>
      <c r="F184" s="107"/>
      <c r="G184" s="112"/>
      <c r="H184" s="178"/>
      <c r="J184" s="80"/>
      <c r="K184" s="106"/>
      <c r="L184" s="106"/>
      <c r="M184" s="106"/>
      <c r="N184" s="106"/>
      <c r="O184" s="106"/>
      <c r="P184" s="108"/>
    </row>
    <row r="185" spans="1:16" s="177" customFormat="1" x14ac:dyDescent="0.25">
      <c r="A185" s="109" t="str">
        <f>IF(G185&lt;&gt;"",1+MAX($A$13:A184),"")</f>
        <v/>
      </c>
      <c r="B185" s="178"/>
      <c r="C185" s="178"/>
      <c r="D185" s="58" t="s">
        <v>350</v>
      </c>
      <c r="E185" s="79">
        <v>26.09</v>
      </c>
      <c r="F185" s="107"/>
      <c r="G185" s="112"/>
      <c r="H185" s="178" t="s">
        <v>11</v>
      </c>
      <c r="J185" s="80"/>
      <c r="K185" s="106"/>
      <c r="L185" s="106"/>
      <c r="M185" s="106"/>
      <c r="N185" s="106"/>
      <c r="O185" s="106"/>
      <c r="P185" s="108"/>
    </row>
    <row r="186" spans="1:16" s="177" customFormat="1" x14ac:dyDescent="0.25">
      <c r="A186" s="109">
        <f>IF(G186&lt;&gt;"",1+MAX($A$13:A185),"")</f>
        <v>98</v>
      </c>
      <c r="B186" s="178" t="s">
        <v>381</v>
      </c>
      <c r="C186" s="178" t="s">
        <v>50</v>
      </c>
      <c r="D186" s="113" t="s">
        <v>336</v>
      </c>
      <c r="E186" s="112">
        <f>E185*2/32</f>
        <v>1.630625</v>
      </c>
      <c r="F186" s="107">
        <f>VLOOKUP(H186,'PROJECT SUMMARY'!$C$26:$D$32,2,0)</f>
        <v>0</v>
      </c>
      <c r="G186" s="112">
        <f t="shared" ref="G186:G190" si="73">E186*(1+F186)</f>
        <v>1.630625</v>
      </c>
      <c r="H186" s="178" t="s">
        <v>10</v>
      </c>
      <c r="I186" s="110">
        <v>0.35</v>
      </c>
      <c r="J186" s="80">
        <f t="shared" ref="J186:J187" si="74">I186*G186</f>
        <v>0.57071874999999994</v>
      </c>
      <c r="K186" s="106">
        <v>47.5</v>
      </c>
      <c r="L186" s="106">
        <f t="shared" ref="L186:L187" si="75">K186*J186</f>
        <v>27.109140624999998</v>
      </c>
      <c r="M186" s="106">
        <v>9.6</v>
      </c>
      <c r="N186" s="106">
        <f t="shared" ref="N186:N187" si="76">M186*G186</f>
        <v>15.654</v>
      </c>
      <c r="O186" s="106">
        <f t="shared" ref="O186:O187" si="77">L186+N186</f>
        <v>42.763140624999998</v>
      </c>
      <c r="P186" s="108"/>
    </row>
    <row r="187" spans="1:16" s="177" customFormat="1" x14ac:dyDescent="0.25">
      <c r="A187" s="109">
        <f>IF(G187&lt;&gt;"",1+MAX($A$13:A186),"")</f>
        <v>99</v>
      </c>
      <c r="B187" s="178" t="s">
        <v>381</v>
      </c>
      <c r="C187" s="178" t="s">
        <v>50</v>
      </c>
      <c r="D187" s="113" t="s">
        <v>337</v>
      </c>
      <c r="E187" s="112">
        <f>E185/1.33*2/10</f>
        <v>3.9233082706766913</v>
      </c>
      <c r="F187" s="107">
        <f>VLOOKUP(H187,'PROJECT SUMMARY'!$C$26:$D$32,2,0)</f>
        <v>0</v>
      </c>
      <c r="G187" s="112">
        <f t="shared" si="73"/>
        <v>3.9233082706766913</v>
      </c>
      <c r="H187" s="178" t="s">
        <v>10</v>
      </c>
      <c r="I187" s="110">
        <v>0.4</v>
      </c>
      <c r="J187" s="80">
        <f t="shared" si="74"/>
        <v>1.5693233082706766</v>
      </c>
      <c r="K187" s="106">
        <v>47.5</v>
      </c>
      <c r="L187" s="106">
        <f t="shared" si="75"/>
        <v>74.54285714285713</v>
      </c>
      <c r="M187" s="106">
        <v>18.5</v>
      </c>
      <c r="N187" s="106">
        <f t="shared" si="76"/>
        <v>72.581203007518795</v>
      </c>
      <c r="O187" s="106">
        <f t="shared" si="77"/>
        <v>147.12406015037593</v>
      </c>
      <c r="P187" s="108"/>
    </row>
    <row r="188" spans="1:16" s="177" customFormat="1" x14ac:dyDescent="0.25">
      <c r="A188" s="109">
        <f>IF(G188&lt;&gt;"",1+MAX($A$13:A187),"")</f>
        <v>100</v>
      </c>
      <c r="B188" s="178" t="s">
        <v>381</v>
      </c>
      <c r="C188" s="178" t="s">
        <v>50</v>
      </c>
      <c r="D188" s="113" t="s">
        <v>338</v>
      </c>
      <c r="E188" s="112">
        <f>E185*3</f>
        <v>78.27</v>
      </c>
      <c r="F188" s="107">
        <f>VLOOKUP(H188,'PROJECT SUMMARY'!$C$26:$D$32,2,0)</f>
        <v>0.05</v>
      </c>
      <c r="G188" s="112">
        <f t="shared" si="73"/>
        <v>82.183499999999995</v>
      </c>
      <c r="H188" s="178" t="s">
        <v>11</v>
      </c>
      <c r="I188" s="110">
        <v>0.04</v>
      </c>
      <c r="J188" s="80">
        <f t="shared" ref="J186:J190" si="78">I188*G188</f>
        <v>3.2873399999999999</v>
      </c>
      <c r="K188" s="106">
        <v>47.5</v>
      </c>
      <c r="L188" s="106">
        <f t="shared" ref="L186:L190" si="79">K188*J188</f>
        <v>156.14865</v>
      </c>
      <c r="M188" s="106">
        <v>1.85</v>
      </c>
      <c r="N188" s="106">
        <f t="shared" ref="N186:N190" si="80">M188*G188</f>
        <v>152.03947500000001</v>
      </c>
      <c r="O188" s="106">
        <f t="shared" ref="O186:O190" si="81">L188+N188</f>
        <v>308.18812500000001</v>
      </c>
      <c r="P188" s="108"/>
    </row>
    <row r="189" spans="1:16" s="177" customFormat="1" x14ac:dyDescent="0.25">
      <c r="A189" s="109">
        <f>IF(G189&lt;&gt;"",1+MAX($A$13:A188),"")</f>
        <v>101</v>
      </c>
      <c r="B189" s="178" t="s">
        <v>381</v>
      </c>
      <c r="C189" s="178" t="s">
        <v>50</v>
      </c>
      <c r="D189" s="113" t="s">
        <v>339</v>
      </c>
      <c r="E189" s="112">
        <f>E185*2</f>
        <v>52.18</v>
      </c>
      <c r="F189" s="107">
        <f>VLOOKUP(H189,'PROJECT SUMMARY'!$C$26:$D$32,2,0)</f>
        <v>0.05</v>
      </c>
      <c r="G189" s="112">
        <f t="shared" si="73"/>
        <v>54.789000000000001</v>
      </c>
      <c r="H189" s="178" t="s">
        <v>12</v>
      </c>
      <c r="I189" s="110">
        <v>1.4999999999999999E-2</v>
      </c>
      <c r="J189" s="80">
        <f t="shared" si="78"/>
        <v>0.82183499999999998</v>
      </c>
      <c r="K189" s="106">
        <v>47.5</v>
      </c>
      <c r="L189" s="106">
        <f t="shared" si="79"/>
        <v>39.037162500000001</v>
      </c>
      <c r="M189" s="106">
        <v>1.1000000000000001</v>
      </c>
      <c r="N189" s="106">
        <f t="shared" si="80"/>
        <v>60.267900000000004</v>
      </c>
      <c r="O189" s="106">
        <f t="shared" si="81"/>
        <v>99.305062500000005</v>
      </c>
      <c r="P189" s="108"/>
    </row>
    <row r="190" spans="1:16" s="177" customFormat="1" x14ac:dyDescent="0.25">
      <c r="A190" s="109">
        <f>IF(G190&lt;&gt;"",1+MAX($A$13:A189),"")</f>
        <v>102</v>
      </c>
      <c r="B190" s="178" t="s">
        <v>381</v>
      </c>
      <c r="C190" s="178" t="s">
        <v>50</v>
      </c>
      <c r="D190" s="113" t="s">
        <v>70</v>
      </c>
      <c r="E190" s="112">
        <f>E185*2</f>
        <v>52.18</v>
      </c>
      <c r="F190" s="107">
        <f>VLOOKUP(H190,'PROJECT SUMMARY'!$C$26:$D$32,2,0)</f>
        <v>0.05</v>
      </c>
      <c r="G190" s="112">
        <f t="shared" si="73"/>
        <v>54.789000000000001</v>
      </c>
      <c r="H190" s="178" t="s">
        <v>11</v>
      </c>
      <c r="I190" s="110">
        <v>7.0000000000000001E-3</v>
      </c>
      <c r="J190" s="80">
        <f t="shared" si="78"/>
        <v>0.383523</v>
      </c>
      <c r="K190" s="106">
        <v>47.5</v>
      </c>
      <c r="L190" s="106">
        <f t="shared" si="79"/>
        <v>18.217342500000001</v>
      </c>
      <c r="M190" s="106">
        <v>0.15</v>
      </c>
      <c r="N190" s="106">
        <f t="shared" si="80"/>
        <v>8.2183499999999992</v>
      </c>
      <c r="O190" s="106">
        <f t="shared" si="81"/>
        <v>26.435692500000002</v>
      </c>
      <c r="P190" s="108"/>
    </row>
    <row r="191" spans="1:16" s="177" customFormat="1" x14ac:dyDescent="0.25">
      <c r="A191" s="109" t="str">
        <f>IF(G191&lt;&gt;"",1+MAX($A$13:A190),"")</f>
        <v/>
      </c>
      <c r="B191" s="178"/>
      <c r="C191" s="178"/>
      <c r="E191" s="112"/>
      <c r="F191" s="107"/>
      <c r="G191" s="112"/>
      <c r="H191" s="178"/>
      <c r="J191" s="80"/>
      <c r="K191" s="106"/>
      <c r="L191" s="106"/>
      <c r="M191" s="106"/>
      <c r="N191" s="106"/>
      <c r="O191" s="106"/>
      <c r="P191" s="108"/>
    </row>
    <row r="192" spans="1:16" s="177" customFormat="1" x14ac:dyDescent="0.25">
      <c r="A192" s="109" t="str">
        <f>IF(G192&lt;&gt;"",1+MAX($A$13:A191),"")</f>
        <v/>
      </c>
      <c r="B192" s="178"/>
      <c r="C192" s="178"/>
      <c r="D192" s="58" t="s">
        <v>354</v>
      </c>
      <c r="E192" s="79">
        <v>10.37</v>
      </c>
      <c r="F192" s="107"/>
      <c r="G192" s="112"/>
      <c r="H192" s="178" t="s">
        <v>11</v>
      </c>
      <c r="J192" s="80"/>
      <c r="K192" s="106"/>
      <c r="L192" s="106"/>
      <c r="M192" s="106"/>
      <c r="N192" s="106"/>
      <c r="O192" s="106"/>
      <c r="P192" s="108"/>
    </row>
    <row r="193" spans="1:16" s="177" customFormat="1" x14ac:dyDescent="0.25">
      <c r="A193" s="109">
        <f>IF(G193&lt;&gt;"",1+MAX($A$13:A192),"")</f>
        <v>103</v>
      </c>
      <c r="B193" s="178" t="s">
        <v>381</v>
      </c>
      <c r="C193" s="178" t="s">
        <v>50</v>
      </c>
      <c r="D193" s="113" t="s">
        <v>336</v>
      </c>
      <c r="E193" s="112">
        <f>E192*3.5/32</f>
        <v>1.1342187499999998</v>
      </c>
      <c r="F193" s="107">
        <f>VLOOKUP(H193,'PROJECT SUMMARY'!$C$26:$D$32,2,0)</f>
        <v>0</v>
      </c>
      <c r="G193" s="112">
        <f t="shared" ref="G193:G197" si="82">E193*(1+F193)</f>
        <v>1.1342187499999998</v>
      </c>
      <c r="H193" s="178" t="s">
        <v>10</v>
      </c>
      <c r="I193" s="110">
        <v>0.35</v>
      </c>
      <c r="J193" s="80">
        <f t="shared" ref="J193:J194" si="83">I193*G193</f>
        <v>0.39697656249999991</v>
      </c>
      <c r="K193" s="106">
        <v>47.5</v>
      </c>
      <c r="L193" s="106">
        <f t="shared" ref="L193:L194" si="84">K193*J193</f>
        <v>18.856386718749995</v>
      </c>
      <c r="M193" s="106">
        <v>9.6</v>
      </c>
      <c r="N193" s="106">
        <f t="shared" ref="N193:N194" si="85">M193*G193</f>
        <v>10.888499999999999</v>
      </c>
      <c r="O193" s="106">
        <f t="shared" ref="O193:O194" si="86">L193+N193</f>
        <v>29.744886718749996</v>
      </c>
      <c r="P193" s="108"/>
    </row>
    <row r="194" spans="1:16" s="177" customFormat="1" x14ac:dyDescent="0.25">
      <c r="A194" s="109">
        <f>IF(G194&lt;&gt;"",1+MAX($A$13:A193),"")</f>
        <v>104</v>
      </c>
      <c r="B194" s="178" t="s">
        <v>381</v>
      </c>
      <c r="C194" s="178" t="s">
        <v>50</v>
      </c>
      <c r="D194" s="113" t="s">
        <v>337</v>
      </c>
      <c r="E194" s="112">
        <f>E192/1.33*3.5/10</f>
        <v>2.7289473684210526</v>
      </c>
      <c r="F194" s="107">
        <f>VLOOKUP(H194,'PROJECT SUMMARY'!$C$26:$D$32,2,0)</f>
        <v>0</v>
      </c>
      <c r="G194" s="112">
        <f t="shared" si="82"/>
        <v>2.7289473684210526</v>
      </c>
      <c r="H194" s="178" t="s">
        <v>10</v>
      </c>
      <c r="I194" s="110">
        <v>0.4</v>
      </c>
      <c r="J194" s="80">
        <f t="shared" si="83"/>
        <v>1.091578947368421</v>
      </c>
      <c r="K194" s="106">
        <v>47.5</v>
      </c>
      <c r="L194" s="106">
        <f t="shared" si="84"/>
        <v>51.849999999999994</v>
      </c>
      <c r="M194" s="106">
        <v>18.5</v>
      </c>
      <c r="N194" s="106">
        <f t="shared" si="85"/>
        <v>50.485526315789471</v>
      </c>
      <c r="O194" s="106">
        <f t="shared" si="86"/>
        <v>102.33552631578947</v>
      </c>
      <c r="P194" s="108"/>
    </row>
    <row r="195" spans="1:16" s="177" customFormat="1" x14ac:dyDescent="0.25">
      <c r="A195" s="109">
        <f>IF(G195&lt;&gt;"",1+MAX($A$13:A194),"")</f>
        <v>105</v>
      </c>
      <c r="B195" s="178" t="s">
        <v>381</v>
      </c>
      <c r="C195" s="178" t="s">
        <v>50</v>
      </c>
      <c r="D195" s="113" t="s">
        <v>338</v>
      </c>
      <c r="E195" s="112">
        <f>E192*3</f>
        <v>31.11</v>
      </c>
      <c r="F195" s="107">
        <f>VLOOKUP(H195,'PROJECT SUMMARY'!$C$26:$D$32,2,0)</f>
        <v>0.05</v>
      </c>
      <c r="G195" s="112">
        <f t="shared" si="82"/>
        <v>32.665500000000002</v>
      </c>
      <c r="H195" s="178" t="s">
        <v>11</v>
      </c>
      <c r="I195" s="110">
        <v>0.04</v>
      </c>
      <c r="J195" s="80">
        <f t="shared" ref="J193:J197" si="87">I195*G195</f>
        <v>1.3066200000000001</v>
      </c>
      <c r="K195" s="106">
        <v>47.5</v>
      </c>
      <c r="L195" s="106">
        <f t="shared" ref="L193:L197" si="88">K195*J195</f>
        <v>62.064450000000008</v>
      </c>
      <c r="M195" s="106">
        <v>1.85</v>
      </c>
      <c r="N195" s="106">
        <f t="shared" ref="N193:N197" si="89">M195*G195</f>
        <v>60.431175000000003</v>
      </c>
      <c r="O195" s="106">
        <f t="shared" ref="O193:O197" si="90">L195+N195</f>
        <v>122.49562500000002</v>
      </c>
      <c r="P195" s="108"/>
    </row>
    <row r="196" spans="1:16" s="177" customFormat="1" x14ac:dyDescent="0.25">
      <c r="A196" s="109">
        <f>IF(G196&lt;&gt;"",1+MAX($A$13:A195),"")</f>
        <v>106</v>
      </c>
      <c r="B196" s="178" t="s">
        <v>381</v>
      </c>
      <c r="C196" s="178" t="s">
        <v>50</v>
      </c>
      <c r="D196" s="113" t="s">
        <v>339</v>
      </c>
      <c r="E196" s="112">
        <f>E192*3.5</f>
        <v>36.294999999999995</v>
      </c>
      <c r="F196" s="107">
        <f>VLOOKUP(H196,'PROJECT SUMMARY'!$C$26:$D$32,2,0)</f>
        <v>0.05</v>
      </c>
      <c r="G196" s="112">
        <f t="shared" si="82"/>
        <v>38.109749999999998</v>
      </c>
      <c r="H196" s="178" t="s">
        <v>12</v>
      </c>
      <c r="I196" s="110">
        <v>1.4999999999999999E-2</v>
      </c>
      <c r="J196" s="80">
        <f t="shared" si="87"/>
        <v>0.57164624999999991</v>
      </c>
      <c r="K196" s="106">
        <v>47.5</v>
      </c>
      <c r="L196" s="106">
        <f t="shared" si="88"/>
        <v>27.153196874999995</v>
      </c>
      <c r="M196" s="106">
        <v>1.1000000000000001</v>
      </c>
      <c r="N196" s="106">
        <f t="shared" si="89"/>
        <v>41.920725000000004</v>
      </c>
      <c r="O196" s="106">
        <f t="shared" si="90"/>
        <v>69.073921874999996</v>
      </c>
      <c r="P196" s="108"/>
    </row>
    <row r="197" spans="1:16" s="177" customFormat="1" x14ac:dyDescent="0.25">
      <c r="A197" s="109">
        <f>IF(G197&lt;&gt;"",1+MAX($A$13:A196),"")</f>
        <v>107</v>
      </c>
      <c r="B197" s="178" t="s">
        <v>381</v>
      </c>
      <c r="C197" s="178" t="s">
        <v>50</v>
      </c>
      <c r="D197" s="113" t="s">
        <v>70</v>
      </c>
      <c r="E197" s="112">
        <f>E192*2</f>
        <v>20.74</v>
      </c>
      <c r="F197" s="107">
        <f>VLOOKUP(H197,'PROJECT SUMMARY'!$C$26:$D$32,2,0)</f>
        <v>0.05</v>
      </c>
      <c r="G197" s="112">
        <f t="shared" si="82"/>
        <v>21.777000000000001</v>
      </c>
      <c r="H197" s="178" t="s">
        <v>11</v>
      </c>
      <c r="I197" s="110">
        <v>7.0000000000000001E-3</v>
      </c>
      <c r="J197" s="80">
        <f t="shared" si="87"/>
        <v>0.15243900000000002</v>
      </c>
      <c r="K197" s="106">
        <v>47.5</v>
      </c>
      <c r="L197" s="106">
        <f t="shared" si="88"/>
        <v>7.2408525000000008</v>
      </c>
      <c r="M197" s="106">
        <v>0.15</v>
      </c>
      <c r="N197" s="106">
        <f t="shared" si="89"/>
        <v>3.2665500000000001</v>
      </c>
      <c r="O197" s="106">
        <f t="shared" si="90"/>
        <v>10.507402500000001</v>
      </c>
      <c r="P197" s="108"/>
    </row>
    <row r="198" spans="1:16" x14ac:dyDescent="0.25">
      <c r="A198" s="109" t="str">
        <f>IF(G198&lt;&gt;"",1+MAX($A$13:A197),"")</f>
        <v/>
      </c>
      <c r="H198" s="82"/>
      <c r="J198" s="80"/>
      <c r="P198" s="46"/>
    </row>
    <row r="199" spans="1:16" x14ac:dyDescent="0.25">
      <c r="A199" s="109" t="str">
        <f>IF(G199&lt;&gt;"",1+MAX($A$13:A198),"")</f>
        <v/>
      </c>
      <c r="D199" s="58" t="s">
        <v>351</v>
      </c>
      <c r="E199" s="79">
        <v>24.43</v>
      </c>
      <c r="H199" s="82" t="s">
        <v>11</v>
      </c>
      <c r="J199" s="80"/>
      <c r="P199" s="46"/>
    </row>
    <row r="200" spans="1:16" x14ac:dyDescent="0.25">
      <c r="A200" s="109">
        <f>IF(G200&lt;&gt;"",1+MAX($A$13:A199),"")</f>
        <v>108</v>
      </c>
      <c r="B200" s="178" t="s">
        <v>381</v>
      </c>
      <c r="C200" s="16" t="s">
        <v>50</v>
      </c>
      <c r="D200" s="59" t="s">
        <v>336</v>
      </c>
      <c r="E200" s="31">
        <f>E199*8.083/32</f>
        <v>6.1708653125000001</v>
      </c>
      <c r="F200" s="39">
        <f>VLOOKUP(H200,'PROJECT SUMMARY'!$C$26:$D$32,2,0)</f>
        <v>0</v>
      </c>
      <c r="G200" s="31">
        <f t="shared" ref="G200:G204" si="91">E200*(1+F200)</f>
        <v>6.1708653125000001</v>
      </c>
      <c r="H200" s="82" t="s">
        <v>10</v>
      </c>
      <c r="I200" s="110">
        <v>0.35</v>
      </c>
      <c r="J200" s="80">
        <f t="shared" ref="J200:J204" si="92">I200*G200</f>
        <v>2.1598028593750001</v>
      </c>
      <c r="K200" s="106">
        <v>47.5</v>
      </c>
      <c r="L200" s="106">
        <f t="shared" ref="L200:L204" si="93">K200*J200</f>
        <v>102.5906358203125</v>
      </c>
      <c r="M200" s="106">
        <v>9.6</v>
      </c>
      <c r="N200" s="106">
        <f t="shared" ref="N200:N204" si="94">M200*G200</f>
        <v>59.240307000000001</v>
      </c>
      <c r="O200" s="106">
        <f t="shared" ref="O200:O204" si="95">L200+N200</f>
        <v>161.83094282031249</v>
      </c>
      <c r="P200" s="46"/>
    </row>
    <row r="201" spans="1:16" x14ac:dyDescent="0.25">
      <c r="A201" s="109">
        <f>IF(G201&lt;&gt;"",1+MAX($A$13:A200),"")</f>
        <v>109</v>
      </c>
      <c r="B201" s="178" t="s">
        <v>381</v>
      </c>
      <c r="C201" s="16" t="s">
        <v>50</v>
      </c>
      <c r="D201" s="59" t="s">
        <v>337</v>
      </c>
      <c r="E201" s="31">
        <f>E199/1.33</f>
        <v>18.368421052631579</v>
      </c>
      <c r="F201" s="39">
        <f>VLOOKUP(H201,'PROJECT SUMMARY'!$C$26:$D$32,2,0)</f>
        <v>0</v>
      </c>
      <c r="G201" s="31">
        <f t="shared" si="91"/>
        <v>18.368421052631579</v>
      </c>
      <c r="H201" s="82" t="s">
        <v>10</v>
      </c>
      <c r="I201" s="110">
        <v>0.4</v>
      </c>
      <c r="J201" s="80">
        <f t="shared" si="92"/>
        <v>7.3473684210526322</v>
      </c>
      <c r="K201" s="106">
        <v>47.5</v>
      </c>
      <c r="L201" s="106">
        <f t="shared" si="93"/>
        <v>349.00000000000006</v>
      </c>
      <c r="M201" s="106">
        <v>18.5</v>
      </c>
      <c r="N201" s="106">
        <f t="shared" si="94"/>
        <v>339.81578947368422</v>
      </c>
      <c r="O201" s="106">
        <f t="shared" si="95"/>
        <v>688.81578947368428</v>
      </c>
      <c r="P201" s="46"/>
    </row>
    <row r="202" spans="1:16" x14ac:dyDescent="0.25">
      <c r="A202" s="109">
        <f>IF(G202&lt;&gt;"",1+MAX($A$13:A201),"")</f>
        <v>110</v>
      </c>
      <c r="B202" s="178" t="s">
        <v>381</v>
      </c>
      <c r="C202" s="16" t="s">
        <v>50</v>
      </c>
      <c r="D202" s="59" t="s">
        <v>338</v>
      </c>
      <c r="E202" s="31">
        <f>E199*3</f>
        <v>73.289999999999992</v>
      </c>
      <c r="F202" s="39">
        <f>VLOOKUP(H202,'PROJECT SUMMARY'!$C$26:$D$32,2,0)</f>
        <v>0.05</v>
      </c>
      <c r="G202" s="31">
        <f t="shared" si="91"/>
        <v>76.954499999999996</v>
      </c>
      <c r="H202" s="82" t="s">
        <v>11</v>
      </c>
      <c r="I202" s="110">
        <v>0.04</v>
      </c>
      <c r="J202" s="80">
        <f t="shared" si="92"/>
        <v>3.0781799999999997</v>
      </c>
      <c r="K202" s="106">
        <v>47.5</v>
      </c>
      <c r="L202" s="106">
        <f t="shared" si="93"/>
        <v>146.21355</v>
      </c>
      <c r="M202" s="106">
        <v>1.85</v>
      </c>
      <c r="N202" s="106">
        <f t="shared" si="94"/>
        <v>142.365825</v>
      </c>
      <c r="O202" s="106">
        <f t="shared" si="95"/>
        <v>288.57937500000003</v>
      </c>
      <c r="P202" s="46"/>
    </row>
    <row r="203" spans="1:16" s="81" customFormat="1" x14ac:dyDescent="0.25">
      <c r="A203" s="109">
        <f>IF(G203&lt;&gt;"",1+MAX($A$13:A202),"")</f>
        <v>111</v>
      </c>
      <c r="B203" s="178" t="s">
        <v>381</v>
      </c>
      <c r="C203" s="82" t="s">
        <v>50</v>
      </c>
      <c r="D203" s="59" t="s">
        <v>339</v>
      </c>
      <c r="E203" s="31">
        <f>E199*8.083</f>
        <v>197.46769</v>
      </c>
      <c r="F203" s="39">
        <f>VLOOKUP(H203,'PROJECT SUMMARY'!$C$26:$D$32,2,0)</f>
        <v>0.05</v>
      </c>
      <c r="G203" s="31">
        <f t="shared" ref="G203" si="96">E203*(1+F203)</f>
        <v>207.34107450000002</v>
      </c>
      <c r="H203" s="82" t="s">
        <v>12</v>
      </c>
      <c r="I203" s="110">
        <v>1.4999999999999999E-2</v>
      </c>
      <c r="J203" s="80">
        <f t="shared" si="92"/>
        <v>3.1101161175000001</v>
      </c>
      <c r="K203" s="106">
        <v>47.5</v>
      </c>
      <c r="L203" s="106">
        <f t="shared" si="93"/>
        <v>147.73051558124999</v>
      </c>
      <c r="M203" s="106">
        <v>1.1000000000000001</v>
      </c>
      <c r="N203" s="106">
        <f t="shared" si="94"/>
        <v>228.07518195000003</v>
      </c>
      <c r="O203" s="106">
        <f t="shared" si="95"/>
        <v>375.80569753125002</v>
      </c>
      <c r="P203" s="46"/>
    </row>
    <row r="204" spans="1:16" x14ac:dyDescent="0.25">
      <c r="A204" s="109">
        <f>IF(G204&lt;&gt;"",1+MAX($A$13:A203),"")</f>
        <v>112</v>
      </c>
      <c r="B204" s="178" t="s">
        <v>381</v>
      </c>
      <c r="C204" s="16" t="s">
        <v>50</v>
      </c>
      <c r="D204" s="59" t="s">
        <v>70</v>
      </c>
      <c r="E204" s="31">
        <f>E199*2</f>
        <v>48.86</v>
      </c>
      <c r="F204" s="39">
        <f>VLOOKUP(H204,'PROJECT SUMMARY'!$C$26:$D$32,2,0)</f>
        <v>0.05</v>
      </c>
      <c r="G204" s="31">
        <f t="shared" si="91"/>
        <v>51.303000000000004</v>
      </c>
      <c r="H204" s="82" t="s">
        <v>11</v>
      </c>
      <c r="I204" s="110">
        <v>7.0000000000000001E-3</v>
      </c>
      <c r="J204" s="80">
        <f t="shared" si="92"/>
        <v>0.35912100000000002</v>
      </c>
      <c r="K204" s="106">
        <v>47.5</v>
      </c>
      <c r="L204" s="106">
        <f t="shared" si="93"/>
        <v>17.0582475</v>
      </c>
      <c r="M204" s="106">
        <v>0.15</v>
      </c>
      <c r="N204" s="106">
        <f t="shared" si="94"/>
        <v>7.6954500000000001</v>
      </c>
      <c r="O204" s="106">
        <f t="shared" si="95"/>
        <v>24.753697500000001</v>
      </c>
      <c r="P204" s="46"/>
    </row>
    <row r="205" spans="1:16" s="177" customFormat="1" x14ac:dyDescent="0.25">
      <c r="A205" s="109" t="str">
        <f>IF(G205&lt;&gt;"",1+MAX($A$13:A204),"")</f>
        <v/>
      </c>
      <c r="B205" s="178"/>
      <c r="C205" s="178"/>
      <c r="E205" s="112"/>
      <c r="F205" s="107"/>
      <c r="G205" s="112"/>
      <c r="H205" s="178"/>
      <c r="J205" s="80"/>
      <c r="K205" s="106"/>
      <c r="L205" s="106"/>
      <c r="M205" s="106"/>
      <c r="N205" s="106"/>
      <c r="O205" s="106"/>
      <c r="P205" s="108"/>
    </row>
    <row r="206" spans="1:16" s="177" customFormat="1" x14ac:dyDescent="0.25">
      <c r="A206" s="109" t="str">
        <f>IF(G206&lt;&gt;"",1+MAX($A$13:A205),"")</f>
        <v/>
      </c>
      <c r="B206" s="178"/>
      <c r="C206" s="178"/>
      <c r="D206" s="58" t="s">
        <v>351</v>
      </c>
      <c r="E206" s="79">
        <v>8.85</v>
      </c>
      <c r="F206" s="107"/>
      <c r="G206" s="112"/>
      <c r="H206" s="178" t="s">
        <v>11</v>
      </c>
      <c r="J206" s="80"/>
      <c r="K206" s="106"/>
      <c r="L206" s="106"/>
      <c r="M206" s="106"/>
      <c r="N206" s="106"/>
      <c r="O206" s="106"/>
      <c r="P206" s="108"/>
    </row>
    <row r="207" spans="1:16" s="177" customFormat="1" x14ac:dyDescent="0.25">
      <c r="A207" s="109">
        <f>IF(G207&lt;&gt;"",1+MAX($A$13:A206),"")</f>
        <v>113</v>
      </c>
      <c r="B207" s="178" t="s">
        <v>381</v>
      </c>
      <c r="C207" s="178" t="s">
        <v>50</v>
      </c>
      <c r="D207" s="113" t="s">
        <v>346</v>
      </c>
      <c r="E207" s="112">
        <f>E206*8.083/32</f>
        <v>2.2354546874999999</v>
      </c>
      <c r="F207" s="107">
        <f>VLOOKUP(H207,'PROJECT SUMMARY'!$C$26:$D$32,2,0)</f>
        <v>0</v>
      </c>
      <c r="G207" s="112">
        <f t="shared" ref="G207:G211" si="97">E207*(1+F207)</f>
        <v>2.2354546874999999</v>
      </c>
      <c r="H207" s="178" t="s">
        <v>10</v>
      </c>
      <c r="I207" s="110">
        <v>0.35</v>
      </c>
      <c r="J207" s="80">
        <f t="shared" ref="J207:J208" si="98">I207*G207</f>
        <v>0.78240914062499989</v>
      </c>
      <c r="K207" s="106">
        <v>47.5</v>
      </c>
      <c r="L207" s="106">
        <f t="shared" ref="L207:L208" si="99">K207*J207</f>
        <v>37.164434179687497</v>
      </c>
      <c r="M207" s="106">
        <v>11</v>
      </c>
      <c r="N207" s="106">
        <f t="shared" ref="N207:N208" si="100">M207*G207</f>
        <v>24.590001562499999</v>
      </c>
      <c r="O207" s="106">
        <f t="shared" ref="O207:O208" si="101">L207+N207</f>
        <v>61.754435742187496</v>
      </c>
      <c r="P207" s="108"/>
    </row>
    <row r="208" spans="1:16" s="177" customFormat="1" x14ac:dyDescent="0.25">
      <c r="A208" s="109">
        <f>IF(G208&lt;&gt;"",1+MAX($A$13:A207),"")</f>
        <v>114</v>
      </c>
      <c r="B208" s="178" t="s">
        <v>381</v>
      </c>
      <c r="C208" s="178" t="s">
        <v>50</v>
      </c>
      <c r="D208" s="113" t="s">
        <v>337</v>
      </c>
      <c r="E208" s="112">
        <f>E206/1.33</f>
        <v>6.6541353383458643</v>
      </c>
      <c r="F208" s="107">
        <f>VLOOKUP(H208,'PROJECT SUMMARY'!$C$26:$D$32,2,0)</f>
        <v>0</v>
      </c>
      <c r="G208" s="112">
        <f t="shared" si="97"/>
        <v>6.6541353383458643</v>
      </c>
      <c r="H208" s="178" t="s">
        <v>10</v>
      </c>
      <c r="I208" s="110">
        <v>0.4</v>
      </c>
      <c r="J208" s="80">
        <f t="shared" si="98"/>
        <v>2.6616541353383458</v>
      </c>
      <c r="K208" s="106">
        <v>47.5</v>
      </c>
      <c r="L208" s="106">
        <f t="shared" si="99"/>
        <v>126.42857142857143</v>
      </c>
      <c r="M208" s="106">
        <v>18.5</v>
      </c>
      <c r="N208" s="106">
        <f t="shared" si="100"/>
        <v>123.1015037593985</v>
      </c>
      <c r="O208" s="106">
        <f t="shared" si="101"/>
        <v>249.53007518796994</v>
      </c>
      <c r="P208" s="108"/>
    </row>
    <row r="209" spans="1:16" s="177" customFormat="1" x14ac:dyDescent="0.25">
      <c r="A209" s="109">
        <f>IF(G209&lt;&gt;"",1+MAX($A$13:A208),"")</f>
        <v>115</v>
      </c>
      <c r="B209" s="178" t="s">
        <v>381</v>
      </c>
      <c r="C209" s="178" t="s">
        <v>50</v>
      </c>
      <c r="D209" s="113" t="s">
        <v>338</v>
      </c>
      <c r="E209" s="112">
        <f>E206*3</f>
        <v>26.549999999999997</v>
      </c>
      <c r="F209" s="107">
        <f>VLOOKUP(H209,'PROJECT SUMMARY'!$C$26:$D$32,2,0)</f>
        <v>0.05</v>
      </c>
      <c r="G209" s="112">
        <f t="shared" si="97"/>
        <v>27.877499999999998</v>
      </c>
      <c r="H209" s="178" t="s">
        <v>11</v>
      </c>
      <c r="I209" s="110">
        <v>0.04</v>
      </c>
      <c r="J209" s="80">
        <f t="shared" ref="J207:J211" si="102">I209*G209</f>
        <v>1.1151</v>
      </c>
      <c r="K209" s="106">
        <v>47.5</v>
      </c>
      <c r="L209" s="106">
        <f t="shared" ref="L207:L211" si="103">K209*J209</f>
        <v>52.96725</v>
      </c>
      <c r="M209" s="106">
        <v>1.85</v>
      </c>
      <c r="N209" s="106">
        <f t="shared" ref="N207:N211" si="104">M209*G209</f>
        <v>51.573374999999999</v>
      </c>
      <c r="O209" s="106">
        <f t="shared" ref="O207:O211" si="105">L209+N209</f>
        <v>104.54062500000001</v>
      </c>
      <c r="P209" s="108"/>
    </row>
    <row r="210" spans="1:16" s="177" customFormat="1" x14ac:dyDescent="0.25">
      <c r="A210" s="109">
        <f>IF(G210&lt;&gt;"",1+MAX($A$13:A209),"")</f>
        <v>116</v>
      </c>
      <c r="B210" s="178" t="s">
        <v>381</v>
      </c>
      <c r="C210" s="178" t="s">
        <v>50</v>
      </c>
      <c r="D210" s="113" t="s">
        <v>339</v>
      </c>
      <c r="E210" s="112">
        <f>E206*8.083</f>
        <v>71.534549999999996</v>
      </c>
      <c r="F210" s="107">
        <f>VLOOKUP(H210,'PROJECT SUMMARY'!$C$26:$D$32,2,0)</f>
        <v>0.05</v>
      </c>
      <c r="G210" s="112">
        <f t="shared" si="97"/>
        <v>75.1112775</v>
      </c>
      <c r="H210" s="178" t="s">
        <v>12</v>
      </c>
      <c r="I210" s="110">
        <v>1.4999999999999999E-2</v>
      </c>
      <c r="J210" s="80">
        <f t="shared" si="102"/>
        <v>1.1266691625</v>
      </c>
      <c r="K210" s="106">
        <v>47.5</v>
      </c>
      <c r="L210" s="106">
        <f t="shared" si="103"/>
        <v>53.516785218750002</v>
      </c>
      <c r="M210" s="106">
        <v>1.1000000000000001</v>
      </c>
      <c r="N210" s="106">
        <f t="shared" si="104"/>
        <v>82.62240525</v>
      </c>
      <c r="O210" s="106">
        <f t="shared" si="105"/>
        <v>136.13919046875</v>
      </c>
      <c r="P210" s="108"/>
    </row>
    <row r="211" spans="1:16" s="177" customFormat="1" x14ac:dyDescent="0.25">
      <c r="A211" s="109">
        <f>IF(G211&lt;&gt;"",1+MAX($A$13:A210),"")</f>
        <v>117</v>
      </c>
      <c r="B211" s="178" t="s">
        <v>381</v>
      </c>
      <c r="C211" s="178" t="s">
        <v>50</v>
      </c>
      <c r="D211" s="113" t="s">
        <v>70</v>
      </c>
      <c r="E211" s="112">
        <f>E206*2</f>
        <v>17.7</v>
      </c>
      <c r="F211" s="107">
        <f>VLOOKUP(H211,'PROJECT SUMMARY'!$C$26:$D$32,2,0)</f>
        <v>0.05</v>
      </c>
      <c r="G211" s="112">
        <f t="shared" si="97"/>
        <v>18.585000000000001</v>
      </c>
      <c r="H211" s="178" t="s">
        <v>11</v>
      </c>
      <c r="I211" s="110">
        <v>7.0000000000000001E-3</v>
      </c>
      <c r="J211" s="80">
        <f t="shared" si="102"/>
        <v>0.13009500000000002</v>
      </c>
      <c r="K211" s="106">
        <v>47.5</v>
      </c>
      <c r="L211" s="106">
        <f t="shared" si="103"/>
        <v>6.1795125000000004</v>
      </c>
      <c r="M211" s="106">
        <v>0.15</v>
      </c>
      <c r="N211" s="106">
        <f t="shared" si="104"/>
        <v>2.78775</v>
      </c>
      <c r="O211" s="106">
        <f t="shared" si="105"/>
        <v>8.9672625000000004</v>
      </c>
      <c r="P211" s="108"/>
    </row>
    <row r="212" spans="1:16" s="177" customFormat="1" x14ac:dyDescent="0.25">
      <c r="A212" s="109" t="str">
        <f>IF(G212&lt;&gt;"",1+MAX($A$13:A211),"")</f>
        <v/>
      </c>
      <c r="B212" s="178"/>
      <c r="C212" s="178"/>
      <c r="E212" s="112"/>
      <c r="F212" s="107"/>
      <c r="G212" s="112"/>
      <c r="H212" s="178"/>
      <c r="J212" s="80"/>
      <c r="K212" s="106"/>
      <c r="L212" s="106"/>
      <c r="M212" s="106"/>
      <c r="N212" s="106"/>
      <c r="O212" s="106"/>
      <c r="P212" s="108"/>
    </row>
    <row r="213" spans="1:16" s="177" customFormat="1" x14ac:dyDescent="0.25">
      <c r="A213" s="109" t="str">
        <f>IF(G213&lt;&gt;"",1+MAX($A$13:A212),"")</f>
        <v/>
      </c>
      <c r="B213" s="178"/>
      <c r="C213" s="178"/>
      <c r="D213" s="58" t="s">
        <v>355</v>
      </c>
      <c r="E213" s="79">
        <v>14.93</v>
      </c>
      <c r="F213" s="107"/>
      <c r="G213" s="112"/>
      <c r="H213" s="178" t="s">
        <v>11</v>
      </c>
      <c r="J213" s="80"/>
      <c r="K213" s="106"/>
      <c r="L213" s="106"/>
      <c r="M213" s="106"/>
      <c r="N213" s="106"/>
      <c r="O213" s="106"/>
      <c r="P213" s="108"/>
    </row>
    <row r="214" spans="1:16" s="177" customFormat="1" x14ac:dyDescent="0.25">
      <c r="A214" s="109">
        <f>IF(G214&lt;&gt;"",1+MAX($A$13:A213),"")</f>
        <v>118</v>
      </c>
      <c r="B214" s="178" t="s">
        <v>381</v>
      </c>
      <c r="C214" s="178" t="s">
        <v>50</v>
      </c>
      <c r="D214" s="113" t="s">
        <v>346</v>
      </c>
      <c r="E214" s="112">
        <f>E213*8.25/32</f>
        <v>3.849140625</v>
      </c>
      <c r="F214" s="107">
        <f>VLOOKUP(H214,'PROJECT SUMMARY'!$C$26:$D$32,2,0)</f>
        <v>0</v>
      </c>
      <c r="G214" s="112">
        <f t="shared" ref="G214:G218" si="106">E214*(1+F214)</f>
        <v>3.849140625</v>
      </c>
      <c r="H214" s="178" t="s">
        <v>10</v>
      </c>
      <c r="I214" s="110">
        <v>0.35</v>
      </c>
      <c r="J214" s="80">
        <f t="shared" ref="J214:J215" si="107">I214*G214</f>
        <v>1.3471992187499999</v>
      </c>
      <c r="K214" s="106">
        <v>47.5</v>
      </c>
      <c r="L214" s="106">
        <f t="shared" ref="L214:L215" si="108">K214*J214</f>
        <v>63.991962890624997</v>
      </c>
      <c r="M214" s="106">
        <v>11</v>
      </c>
      <c r="N214" s="106">
        <f t="shared" ref="N214:N215" si="109">M214*G214</f>
        <v>42.340546875000001</v>
      </c>
      <c r="O214" s="106">
        <f t="shared" ref="O214:O215" si="110">L214+N214</f>
        <v>106.33250976562499</v>
      </c>
      <c r="P214" s="108"/>
    </row>
    <row r="215" spans="1:16" s="177" customFormat="1" x14ac:dyDescent="0.25">
      <c r="A215" s="109">
        <f>IF(G215&lt;&gt;"",1+MAX($A$13:A214),"")</f>
        <v>119</v>
      </c>
      <c r="B215" s="178" t="s">
        <v>381</v>
      </c>
      <c r="C215" s="178" t="s">
        <v>50</v>
      </c>
      <c r="D215" s="113" t="s">
        <v>337</v>
      </c>
      <c r="E215" s="112">
        <f>E213/1.33</f>
        <v>11.225563909774435</v>
      </c>
      <c r="F215" s="107">
        <f>VLOOKUP(H215,'PROJECT SUMMARY'!$C$26:$D$32,2,0)</f>
        <v>0</v>
      </c>
      <c r="G215" s="112">
        <f t="shared" si="106"/>
        <v>11.225563909774435</v>
      </c>
      <c r="H215" s="178" t="s">
        <v>10</v>
      </c>
      <c r="I215" s="110">
        <v>0.4</v>
      </c>
      <c r="J215" s="80">
        <f t="shared" si="107"/>
        <v>4.4902255639097737</v>
      </c>
      <c r="K215" s="106">
        <v>47.5</v>
      </c>
      <c r="L215" s="106">
        <f t="shared" si="108"/>
        <v>213.28571428571425</v>
      </c>
      <c r="M215" s="106">
        <v>18.5</v>
      </c>
      <c r="N215" s="106">
        <f t="shared" si="109"/>
        <v>207.67293233082705</v>
      </c>
      <c r="O215" s="106">
        <f t="shared" si="110"/>
        <v>420.95864661654127</v>
      </c>
      <c r="P215" s="108"/>
    </row>
    <row r="216" spans="1:16" s="177" customFormat="1" x14ac:dyDescent="0.25">
      <c r="A216" s="109">
        <f>IF(G216&lt;&gt;"",1+MAX($A$13:A215),"")</f>
        <v>120</v>
      </c>
      <c r="B216" s="178" t="s">
        <v>381</v>
      </c>
      <c r="C216" s="178" t="s">
        <v>50</v>
      </c>
      <c r="D216" s="113" t="s">
        <v>338</v>
      </c>
      <c r="E216" s="112">
        <f>E213*3</f>
        <v>44.79</v>
      </c>
      <c r="F216" s="107">
        <f>VLOOKUP(H216,'PROJECT SUMMARY'!$C$26:$D$32,2,0)</f>
        <v>0.05</v>
      </c>
      <c r="G216" s="112">
        <f t="shared" si="106"/>
        <v>47.029499999999999</v>
      </c>
      <c r="H216" s="178" t="s">
        <v>11</v>
      </c>
      <c r="I216" s="110">
        <v>0.04</v>
      </c>
      <c r="J216" s="80">
        <f t="shared" ref="J214:J218" si="111">I216*G216</f>
        <v>1.8811800000000001</v>
      </c>
      <c r="K216" s="106">
        <v>47.5</v>
      </c>
      <c r="L216" s="106">
        <f t="shared" ref="L214:L218" si="112">K216*J216</f>
        <v>89.35605000000001</v>
      </c>
      <c r="M216" s="106">
        <v>1.85</v>
      </c>
      <c r="N216" s="106">
        <f t="shared" ref="N214:N218" si="113">M216*G216</f>
        <v>87.004575000000003</v>
      </c>
      <c r="O216" s="106">
        <f t="shared" ref="O214:O218" si="114">L216+N216</f>
        <v>176.36062500000003</v>
      </c>
      <c r="P216" s="108"/>
    </row>
    <row r="217" spans="1:16" s="177" customFormat="1" x14ac:dyDescent="0.25">
      <c r="A217" s="109">
        <f>IF(G217&lt;&gt;"",1+MAX($A$13:A216),"")</f>
        <v>121</v>
      </c>
      <c r="B217" s="178" t="s">
        <v>381</v>
      </c>
      <c r="C217" s="178" t="s">
        <v>50</v>
      </c>
      <c r="D217" s="113" t="s">
        <v>339</v>
      </c>
      <c r="E217" s="112">
        <f>E213*8.25</f>
        <v>123.1725</v>
      </c>
      <c r="F217" s="107">
        <f>VLOOKUP(H217,'PROJECT SUMMARY'!$C$26:$D$32,2,0)</f>
        <v>0.05</v>
      </c>
      <c r="G217" s="112">
        <f t="shared" si="106"/>
        <v>129.33112500000001</v>
      </c>
      <c r="H217" s="178" t="s">
        <v>12</v>
      </c>
      <c r="I217" s="110">
        <v>1.4999999999999999E-2</v>
      </c>
      <c r="J217" s="80">
        <f t="shared" si="111"/>
        <v>1.9399668750000001</v>
      </c>
      <c r="K217" s="106">
        <v>47.5</v>
      </c>
      <c r="L217" s="106">
        <f t="shared" si="112"/>
        <v>92.148426562500006</v>
      </c>
      <c r="M217" s="106">
        <v>1.1000000000000001</v>
      </c>
      <c r="N217" s="106">
        <f t="shared" si="113"/>
        <v>142.26423750000004</v>
      </c>
      <c r="O217" s="106">
        <f t="shared" si="114"/>
        <v>234.41266406250003</v>
      </c>
      <c r="P217" s="108"/>
    </row>
    <row r="218" spans="1:16" s="177" customFormat="1" x14ac:dyDescent="0.25">
      <c r="A218" s="109">
        <f>IF(G218&lt;&gt;"",1+MAX($A$13:A217),"")</f>
        <v>122</v>
      </c>
      <c r="B218" s="178" t="s">
        <v>381</v>
      </c>
      <c r="C218" s="178" t="s">
        <v>50</v>
      </c>
      <c r="D218" s="113" t="s">
        <v>70</v>
      </c>
      <c r="E218" s="112">
        <f>E213*2</f>
        <v>29.86</v>
      </c>
      <c r="F218" s="107">
        <f>VLOOKUP(H218,'PROJECT SUMMARY'!$C$26:$D$32,2,0)</f>
        <v>0.05</v>
      </c>
      <c r="G218" s="112">
        <f t="shared" si="106"/>
        <v>31.353000000000002</v>
      </c>
      <c r="H218" s="178" t="s">
        <v>11</v>
      </c>
      <c r="I218" s="110">
        <v>7.0000000000000001E-3</v>
      </c>
      <c r="J218" s="80">
        <f t="shared" si="111"/>
        <v>0.21947100000000003</v>
      </c>
      <c r="K218" s="106">
        <v>47.5</v>
      </c>
      <c r="L218" s="106">
        <f t="shared" si="112"/>
        <v>10.424872500000001</v>
      </c>
      <c r="M218" s="106">
        <v>0.15</v>
      </c>
      <c r="N218" s="106">
        <f t="shared" si="113"/>
        <v>4.7029500000000004</v>
      </c>
      <c r="O218" s="106">
        <f t="shared" si="114"/>
        <v>15.127822500000001</v>
      </c>
      <c r="P218" s="108"/>
    </row>
    <row r="219" spans="1:16" s="177" customFormat="1" x14ac:dyDescent="0.25">
      <c r="A219" s="109" t="str">
        <f>IF(G219&lt;&gt;"",1+MAX($A$13:A218),"")</f>
        <v/>
      </c>
      <c r="B219" s="178"/>
      <c r="C219" s="178"/>
      <c r="E219" s="112"/>
      <c r="F219" s="107"/>
      <c r="G219" s="112"/>
      <c r="H219" s="178"/>
      <c r="J219" s="80"/>
      <c r="K219" s="106"/>
      <c r="L219" s="106"/>
      <c r="M219" s="106"/>
      <c r="N219" s="106"/>
      <c r="O219" s="106"/>
      <c r="P219" s="108"/>
    </row>
    <row r="220" spans="1:16" s="177" customFormat="1" x14ac:dyDescent="0.25">
      <c r="A220" s="109" t="str">
        <f>IF(G220&lt;&gt;"",1+MAX($A$13:A219),"")</f>
        <v/>
      </c>
      <c r="B220" s="178" t="s">
        <v>381</v>
      </c>
      <c r="C220" s="178"/>
      <c r="D220" s="58" t="s">
        <v>356</v>
      </c>
      <c r="E220" s="79">
        <v>3.05</v>
      </c>
      <c r="F220" s="107"/>
      <c r="G220" s="112"/>
      <c r="H220" s="178" t="s">
        <v>11</v>
      </c>
      <c r="J220" s="80"/>
      <c r="K220" s="106"/>
      <c r="L220" s="106"/>
      <c r="M220" s="106"/>
      <c r="N220" s="106"/>
      <c r="O220" s="106"/>
      <c r="P220" s="108"/>
    </row>
    <row r="221" spans="1:16" s="177" customFormat="1" x14ac:dyDescent="0.25">
      <c r="A221" s="109">
        <f>IF(G221&lt;&gt;"",1+MAX($A$13:A220),"")</f>
        <v>123</v>
      </c>
      <c r="B221" s="178" t="s">
        <v>381</v>
      </c>
      <c r="C221" s="178" t="s">
        <v>50</v>
      </c>
      <c r="D221" s="113" t="s">
        <v>336</v>
      </c>
      <c r="E221" s="112">
        <f>E220*8.5/32</f>
        <v>0.81015624999999991</v>
      </c>
      <c r="F221" s="107">
        <f>VLOOKUP(H221,'PROJECT SUMMARY'!$C$26:$D$32,2,0)</f>
        <v>0</v>
      </c>
      <c r="G221" s="112">
        <f t="shared" ref="G221:G225" si="115">E221*(1+F221)</f>
        <v>0.81015624999999991</v>
      </c>
      <c r="H221" s="178" t="s">
        <v>10</v>
      </c>
      <c r="I221" s="110">
        <v>0.35</v>
      </c>
      <c r="J221" s="80">
        <f t="shared" ref="J221:J222" si="116">I221*G221</f>
        <v>0.28355468749999996</v>
      </c>
      <c r="K221" s="106">
        <v>47.5</v>
      </c>
      <c r="L221" s="106">
        <f t="shared" ref="L221:L222" si="117">K221*J221</f>
        <v>13.468847656249999</v>
      </c>
      <c r="M221" s="106">
        <v>9.6</v>
      </c>
      <c r="N221" s="106">
        <f t="shared" ref="N221:N222" si="118">M221*G221</f>
        <v>7.777499999999999</v>
      </c>
      <c r="O221" s="106">
        <f t="shared" ref="O221:O222" si="119">L221+N221</f>
        <v>21.246347656249998</v>
      </c>
      <c r="P221" s="108"/>
    </row>
    <row r="222" spans="1:16" s="177" customFormat="1" x14ac:dyDescent="0.25">
      <c r="A222" s="109">
        <f>IF(G222&lt;&gt;"",1+MAX($A$13:A221),"")</f>
        <v>124</v>
      </c>
      <c r="B222" s="178" t="s">
        <v>381</v>
      </c>
      <c r="C222" s="178" t="s">
        <v>50</v>
      </c>
      <c r="D222" s="113" t="s">
        <v>337</v>
      </c>
      <c r="E222" s="112">
        <f>E220/1.33</f>
        <v>2.2932330827067666</v>
      </c>
      <c r="F222" s="107">
        <f>VLOOKUP(H222,'PROJECT SUMMARY'!$C$26:$D$32,2,0)</f>
        <v>0</v>
      </c>
      <c r="G222" s="112">
        <f t="shared" si="115"/>
        <v>2.2932330827067666</v>
      </c>
      <c r="H222" s="178" t="s">
        <v>10</v>
      </c>
      <c r="I222" s="110">
        <v>0.4</v>
      </c>
      <c r="J222" s="80">
        <f t="shared" si="116"/>
        <v>0.91729323308270672</v>
      </c>
      <c r="K222" s="106">
        <v>47.5</v>
      </c>
      <c r="L222" s="106">
        <f t="shared" si="117"/>
        <v>43.571428571428569</v>
      </c>
      <c r="M222" s="106">
        <v>18.5</v>
      </c>
      <c r="N222" s="106">
        <f t="shared" si="118"/>
        <v>42.424812030075181</v>
      </c>
      <c r="O222" s="106">
        <f t="shared" si="119"/>
        <v>85.996240601503757</v>
      </c>
      <c r="P222" s="108"/>
    </row>
    <row r="223" spans="1:16" s="177" customFormat="1" x14ac:dyDescent="0.25">
      <c r="A223" s="109">
        <f>IF(G223&lt;&gt;"",1+MAX($A$13:A222),"")</f>
        <v>125</v>
      </c>
      <c r="B223" s="178" t="s">
        <v>381</v>
      </c>
      <c r="C223" s="178" t="s">
        <v>50</v>
      </c>
      <c r="D223" s="113" t="s">
        <v>338</v>
      </c>
      <c r="E223" s="112">
        <f>E220*3</f>
        <v>9.1499999999999986</v>
      </c>
      <c r="F223" s="107">
        <f>VLOOKUP(H223,'PROJECT SUMMARY'!$C$26:$D$32,2,0)</f>
        <v>0.05</v>
      </c>
      <c r="G223" s="112">
        <f t="shared" si="115"/>
        <v>9.6074999999999982</v>
      </c>
      <c r="H223" s="178" t="s">
        <v>11</v>
      </c>
      <c r="I223" s="110">
        <v>0.04</v>
      </c>
      <c r="J223" s="80">
        <f t="shared" ref="J221:J225" si="120">I223*G223</f>
        <v>0.38429999999999992</v>
      </c>
      <c r="K223" s="106">
        <v>47.5</v>
      </c>
      <c r="L223" s="106">
        <f t="shared" ref="L221:L225" si="121">K223*J223</f>
        <v>18.254249999999995</v>
      </c>
      <c r="M223" s="106">
        <v>1.85</v>
      </c>
      <c r="N223" s="106">
        <f t="shared" ref="N221:N225" si="122">M223*G223</f>
        <v>17.773874999999997</v>
      </c>
      <c r="O223" s="106">
        <f t="shared" ref="O221:O225" si="123">L223+N223</f>
        <v>36.028124999999989</v>
      </c>
      <c r="P223" s="108"/>
    </row>
    <row r="224" spans="1:16" s="177" customFormat="1" x14ac:dyDescent="0.25">
      <c r="A224" s="109">
        <f>IF(G224&lt;&gt;"",1+MAX($A$13:A223),"")</f>
        <v>126</v>
      </c>
      <c r="B224" s="178" t="s">
        <v>381</v>
      </c>
      <c r="C224" s="178" t="s">
        <v>50</v>
      </c>
      <c r="D224" s="113" t="s">
        <v>339</v>
      </c>
      <c r="E224" s="112">
        <f>E220*8.5</f>
        <v>25.924999999999997</v>
      </c>
      <c r="F224" s="107">
        <f>VLOOKUP(H224,'PROJECT SUMMARY'!$C$26:$D$32,2,0)</f>
        <v>0.05</v>
      </c>
      <c r="G224" s="112">
        <f t="shared" si="115"/>
        <v>27.221249999999998</v>
      </c>
      <c r="H224" s="178" t="s">
        <v>12</v>
      </c>
      <c r="I224" s="110">
        <v>1.4999999999999999E-2</v>
      </c>
      <c r="J224" s="80">
        <f t="shared" si="120"/>
        <v>0.40831874999999995</v>
      </c>
      <c r="K224" s="106">
        <v>47.5</v>
      </c>
      <c r="L224" s="106">
        <f t="shared" si="121"/>
        <v>19.395140624999996</v>
      </c>
      <c r="M224" s="106">
        <v>1.1000000000000001</v>
      </c>
      <c r="N224" s="106">
        <f t="shared" si="122"/>
        <v>29.943375</v>
      </c>
      <c r="O224" s="106">
        <f t="shared" si="123"/>
        <v>49.338515624999999</v>
      </c>
      <c r="P224" s="108"/>
    </row>
    <row r="225" spans="1:16" s="177" customFormat="1" x14ac:dyDescent="0.25">
      <c r="A225" s="109">
        <f>IF(G225&lt;&gt;"",1+MAX($A$13:A224),"")</f>
        <v>127</v>
      </c>
      <c r="B225" s="178" t="s">
        <v>381</v>
      </c>
      <c r="C225" s="178" t="s">
        <v>50</v>
      </c>
      <c r="D225" s="113" t="s">
        <v>70</v>
      </c>
      <c r="E225" s="112">
        <f>E220*2</f>
        <v>6.1</v>
      </c>
      <c r="F225" s="107">
        <f>VLOOKUP(H225,'PROJECT SUMMARY'!$C$26:$D$32,2,0)</f>
        <v>0.05</v>
      </c>
      <c r="G225" s="112">
        <f t="shared" si="115"/>
        <v>6.4050000000000002</v>
      </c>
      <c r="H225" s="178" t="s">
        <v>11</v>
      </c>
      <c r="I225" s="110">
        <v>7.0000000000000001E-3</v>
      </c>
      <c r="J225" s="80">
        <f t="shared" si="120"/>
        <v>4.4835E-2</v>
      </c>
      <c r="K225" s="106">
        <v>47.5</v>
      </c>
      <c r="L225" s="106">
        <f t="shared" si="121"/>
        <v>2.1296624999999998</v>
      </c>
      <c r="M225" s="106">
        <v>0.15</v>
      </c>
      <c r="N225" s="106">
        <f t="shared" si="122"/>
        <v>0.96074999999999999</v>
      </c>
      <c r="O225" s="106">
        <f t="shared" si="123"/>
        <v>3.0904124999999998</v>
      </c>
      <c r="P225" s="108"/>
    </row>
    <row r="226" spans="1:16" s="177" customFormat="1" x14ac:dyDescent="0.25">
      <c r="A226" s="109" t="str">
        <f>IF(G226&lt;&gt;"",1+MAX($A$13:A225),"")</f>
        <v/>
      </c>
      <c r="B226" s="178"/>
      <c r="C226" s="178"/>
      <c r="E226" s="112"/>
      <c r="F226" s="107"/>
      <c r="G226" s="112"/>
      <c r="H226" s="178"/>
      <c r="J226" s="80"/>
      <c r="K226" s="106"/>
      <c r="L226" s="106"/>
      <c r="M226" s="106"/>
      <c r="N226" s="106"/>
      <c r="O226" s="106"/>
      <c r="P226" s="108"/>
    </row>
    <row r="227" spans="1:16" s="177" customFormat="1" x14ac:dyDescent="0.25">
      <c r="A227" s="109" t="str">
        <f>IF(G227&lt;&gt;"",1+MAX($A$13:A226),"")</f>
        <v/>
      </c>
      <c r="B227" s="178"/>
      <c r="C227" s="178"/>
      <c r="D227" s="58" t="s">
        <v>356</v>
      </c>
      <c r="E227" s="79">
        <v>8.86</v>
      </c>
      <c r="F227" s="107"/>
      <c r="G227" s="112"/>
      <c r="H227" s="178" t="s">
        <v>11</v>
      </c>
      <c r="J227" s="80"/>
      <c r="K227" s="106"/>
      <c r="L227" s="106"/>
      <c r="M227" s="106"/>
      <c r="N227" s="106"/>
      <c r="O227" s="106"/>
      <c r="P227" s="108"/>
    </row>
    <row r="228" spans="1:16" s="177" customFormat="1" x14ac:dyDescent="0.25">
      <c r="A228" s="109">
        <f>IF(G228&lt;&gt;"",1+MAX($A$13:A227),"")</f>
        <v>128</v>
      </c>
      <c r="B228" s="178" t="s">
        <v>381</v>
      </c>
      <c r="C228" s="178" t="s">
        <v>50</v>
      </c>
      <c r="D228" s="113" t="s">
        <v>346</v>
      </c>
      <c r="E228" s="112">
        <f>E227*8.5/32</f>
        <v>2.3534375000000001</v>
      </c>
      <c r="F228" s="107">
        <f>VLOOKUP(H228,'PROJECT SUMMARY'!$C$26:$D$32,2,0)</f>
        <v>0</v>
      </c>
      <c r="G228" s="112">
        <f t="shared" ref="G228:G232" si="124">E228*(1+F228)</f>
        <v>2.3534375000000001</v>
      </c>
      <c r="H228" s="178" t="s">
        <v>10</v>
      </c>
      <c r="I228" s="110">
        <v>0.35</v>
      </c>
      <c r="J228" s="80">
        <f t="shared" ref="J228:J229" si="125">I228*G228</f>
        <v>0.82370312499999998</v>
      </c>
      <c r="K228" s="106">
        <v>47.5</v>
      </c>
      <c r="L228" s="106">
        <f t="shared" ref="L228:L229" si="126">K228*J228</f>
        <v>39.125898437499998</v>
      </c>
      <c r="M228" s="106">
        <v>11</v>
      </c>
      <c r="N228" s="106">
        <f t="shared" ref="N228:N229" si="127">M228*G228</f>
        <v>25.887812500000003</v>
      </c>
      <c r="O228" s="106">
        <f t="shared" ref="O228:O229" si="128">L228+N228</f>
        <v>65.013710937500008</v>
      </c>
      <c r="P228" s="108"/>
    </row>
    <row r="229" spans="1:16" s="177" customFormat="1" x14ac:dyDescent="0.25">
      <c r="A229" s="109">
        <f>IF(G229&lt;&gt;"",1+MAX($A$13:A228),"")</f>
        <v>129</v>
      </c>
      <c r="B229" s="178" t="s">
        <v>381</v>
      </c>
      <c r="C229" s="178" t="s">
        <v>50</v>
      </c>
      <c r="D229" s="113" t="s">
        <v>337</v>
      </c>
      <c r="E229" s="112">
        <f>E227/1.33</f>
        <v>6.6616541353383454</v>
      </c>
      <c r="F229" s="107">
        <f>VLOOKUP(H229,'PROJECT SUMMARY'!$C$26:$D$32,2,0)</f>
        <v>0</v>
      </c>
      <c r="G229" s="112">
        <f t="shared" si="124"/>
        <v>6.6616541353383454</v>
      </c>
      <c r="H229" s="178" t="s">
        <v>10</v>
      </c>
      <c r="I229" s="110">
        <v>0.4</v>
      </c>
      <c r="J229" s="80">
        <f t="shared" si="125"/>
        <v>2.6646616541353385</v>
      </c>
      <c r="K229" s="106">
        <v>47.5</v>
      </c>
      <c r="L229" s="106">
        <f t="shared" si="126"/>
        <v>126.57142857142858</v>
      </c>
      <c r="M229" s="106">
        <v>18.5</v>
      </c>
      <c r="N229" s="106">
        <f t="shared" si="127"/>
        <v>123.24060150375939</v>
      </c>
      <c r="O229" s="106">
        <f t="shared" si="128"/>
        <v>249.81203007518798</v>
      </c>
      <c r="P229" s="108"/>
    </row>
    <row r="230" spans="1:16" s="177" customFormat="1" x14ac:dyDescent="0.25">
      <c r="A230" s="109">
        <f>IF(G230&lt;&gt;"",1+MAX($A$13:A229),"")</f>
        <v>130</v>
      </c>
      <c r="B230" s="178" t="s">
        <v>381</v>
      </c>
      <c r="C230" s="178" t="s">
        <v>50</v>
      </c>
      <c r="D230" s="113" t="s">
        <v>338</v>
      </c>
      <c r="E230" s="112">
        <f>E227*3</f>
        <v>26.58</v>
      </c>
      <c r="F230" s="107">
        <f>VLOOKUP(H230,'PROJECT SUMMARY'!$C$26:$D$32,2,0)</f>
        <v>0.05</v>
      </c>
      <c r="G230" s="112">
        <f t="shared" si="124"/>
        <v>27.908999999999999</v>
      </c>
      <c r="H230" s="178" t="s">
        <v>11</v>
      </c>
      <c r="I230" s="110">
        <v>0.04</v>
      </c>
      <c r="J230" s="80">
        <f t="shared" ref="J228:J232" si="129">I230*G230</f>
        <v>1.11636</v>
      </c>
      <c r="K230" s="106">
        <v>47.5</v>
      </c>
      <c r="L230" s="106">
        <f t="shared" ref="L228:L232" si="130">K230*J230</f>
        <v>53.027100000000004</v>
      </c>
      <c r="M230" s="106">
        <v>1.85</v>
      </c>
      <c r="N230" s="106">
        <f t="shared" ref="N228:N232" si="131">M230*G230</f>
        <v>51.63165</v>
      </c>
      <c r="O230" s="106">
        <f t="shared" ref="O228:O232" si="132">L230+N230</f>
        <v>104.65875</v>
      </c>
      <c r="P230" s="108"/>
    </row>
    <row r="231" spans="1:16" s="177" customFormat="1" x14ac:dyDescent="0.25">
      <c r="A231" s="109">
        <f>IF(G231&lt;&gt;"",1+MAX($A$13:A230),"")</f>
        <v>131</v>
      </c>
      <c r="B231" s="178" t="s">
        <v>381</v>
      </c>
      <c r="C231" s="178" t="s">
        <v>50</v>
      </c>
      <c r="D231" s="113" t="s">
        <v>339</v>
      </c>
      <c r="E231" s="112">
        <f>E227*8.5</f>
        <v>75.31</v>
      </c>
      <c r="F231" s="107">
        <f>VLOOKUP(H231,'PROJECT SUMMARY'!$C$26:$D$32,2,0)</f>
        <v>0.05</v>
      </c>
      <c r="G231" s="112">
        <f t="shared" si="124"/>
        <v>79.075500000000005</v>
      </c>
      <c r="H231" s="178" t="s">
        <v>12</v>
      </c>
      <c r="I231" s="110">
        <v>1.4999999999999999E-2</v>
      </c>
      <c r="J231" s="80">
        <f t="shared" si="129"/>
        <v>1.1861325</v>
      </c>
      <c r="K231" s="106">
        <v>47.5</v>
      </c>
      <c r="L231" s="106">
        <f t="shared" si="130"/>
        <v>56.341293749999998</v>
      </c>
      <c r="M231" s="106">
        <v>1.1000000000000001</v>
      </c>
      <c r="N231" s="106">
        <f t="shared" si="131"/>
        <v>86.983050000000006</v>
      </c>
      <c r="O231" s="106">
        <f t="shared" si="132"/>
        <v>143.32434375</v>
      </c>
      <c r="P231" s="108"/>
    </row>
    <row r="232" spans="1:16" s="177" customFormat="1" x14ac:dyDescent="0.25">
      <c r="A232" s="109">
        <f>IF(G232&lt;&gt;"",1+MAX($A$13:A231),"")</f>
        <v>132</v>
      </c>
      <c r="B232" s="178" t="s">
        <v>381</v>
      </c>
      <c r="C232" s="178" t="s">
        <v>50</v>
      </c>
      <c r="D232" s="113" t="s">
        <v>70</v>
      </c>
      <c r="E232" s="112">
        <f>E227*2</f>
        <v>17.72</v>
      </c>
      <c r="F232" s="107">
        <f>VLOOKUP(H232,'PROJECT SUMMARY'!$C$26:$D$32,2,0)</f>
        <v>0.05</v>
      </c>
      <c r="G232" s="112">
        <f t="shared" si="124"/>
        <v>18.605999999999998</v>
      </c>
      <c r="H232" s="178" t="s">
        <v>11</v>
      </c>
      <c r="I232" s="110">
        <v>7.0000000000000001E-3</v>
      </c>
      <c r="J232" s="80">
        <f t="shared" si="129"/>
        <v>0.130242</v>
      </c>
      <c r="K232" s="106">
        <v>47.5</v>
      </c>
      <c r="L232" s="106">
        <f t="shared" si="130"/>
        <v>6.1864949999999999</v>
      </c>
      <c r="M232" s="106">
        <v>0.15</v>
      </c>
      <c r="N232" s="106">
        <f t="shared" si="131"/>
        <v>2.7908999999999997</v>
      </c>
      <c r="O232" s="106">
        <f t="shared" si="132"/>
        <v>8.9773949999999996</v>
      </c>
      <c r="P232" s="108"/>
    </row>
    <row r="233" spans="1:16" s="177" customFormat="1" x14ac:dyDescent="0.25">
      <c r="A233" s="109" t="str">
        <f>IF(G233&lt;&gt;"",1+MAX($A$13:A232),"")</f>
        <v/>
      </c>
      <c r="B233" s="178"/>
      <c r="C233" s="178"/>
      <c r="E233" s="112"/>
      <c r="F233" s="107"/>
      <c r="G233" s="112"/>
      <c r="H233" s="178"/>
      <c r="J233" s="80"/>
      <c r="K233" s="106"/>
      <c r="L233" s="106"/>
      <c r="M233" s="106"/>
      <c r="N233" s="106"/>
      <c r="O233" s="106"/>
      <c r="P233" s="108"/>
    </row>
    <row r="234" spans="1:16" s="177" customFormat="1" x14ac:dyDescent="0.25">
      <c r="A234" s="109" t="str">
        <f>IF(G234&lt;&gt;"",1+MAX($A$13:A233),"")</f>
        <v/>
      </c>
      <c r="B234" s="178"/>
      <c r="C234" s="178"/>
      <c r="D234" s="58" t="s">
        <v>357</v>
      </c>
      <c r="E234" s="79">
        <v>4.0199999999999996</v>
      </c>
      <c r="F234" s="107"/>
      <c r="G234" s="112"/>
      <c r="H234" s="178" t="s">
        <v>11</v>
      </c>
      <c r="J234" s="80"/>
      <c r="K234" s="106"/>
      <c r="L234" s="106"/>
      <c r="M234" s="106"/>
      <c r="N234" s="106"/>
      <c r="O234" s="106"/>
      <c r="P234" s="108"/>
    </row>
    <row r="235" spans="1:16" s="177" customFormat="1" x14ac:dyDescent="0.25">
      <c r="A235" s="109">
        <f>IF(G235&lt;&gt;"",1+MAX($A$13:A234),"")</f>
        <v>133</v>
      </c>
      <c r="B235" s="178" t="s">
        <v>381</v>
      </c>
      <c r="C235" s="178" t="s">
        <v>50</v>
      </c>
      <c r="D235" s="113" t="s">
        <v>336</v>
      </c>
      <c r="E235" s="112">
        <f>E234*8.67/32</f>
        <v>1.0891687499999998</v>
      </c>
      <c r="F235" s="107">
        <f>VLOOKUP(H235,'PROJECT SUMMARY'!$C$26:$D$32,2,0)</f>
        <v>0</v>
      </c>
      <c r="G235" s="112">
        <f t="shared" ref="G235:G239" si="133">E235*(1+F235)</f>
        <v>1.0891687499999998</v>
      </c>
      <c r="H235" s="178" t="s">
        <v>10</v>
      </c>
      <c r="I235" s="110">
        <v>0.35</v>
      </c>
      <c r="J235" s="80">
        <f t="shared" ref="J235:J236" si="134">I235*G235</f>
        <v>0.38120906249999992</v>
      </c>
      <c r="K235" s="106">
        <v>47.5</v>
      </c>
      <c r="L235" s="106">
        <f t="shared" ref="L235:L236" si="135">K235*J235</f>
        <v>18.107430468749996</v>
      </c>
      <c r="M235" s="106">
        <v>9.6</v>
      </c>
      <c r="N235" s="106">
        <f t="shared" ref="N235:N236" si="136">M235*G235</f>
        <v>10.456019999999997</v>
      </c>
      <c r="O235" s="106">
        <f t="shared" ref="O235:O236" si="137">L235+N235</f>
        <v>28.563450468749991</v>
      </c>
      <c r="P235" s="108"/>
    </row>
    <row r="236" spans="1:16" s="177" customFormat="1" x14ac:dyDescent="0.25">
      <c r="A236" s="109">
        <f>IF(G236&lt;&gt;"",1+MAX($A$13:A235),"")</f>
        <v>134</v>
      </c>
      <c r="B236" s="178" t="s">
        <v>381</v>
      </c>
      <c r="C236" s="178" t="s">
        <v>50</v>
      </c>
      <c r="D236" s="113" t="s">
        <v>337</v>
      </c>
      <c r="E236" s="112">
        <f>E234/1.33</f>
        <v>3.0225563909774431</v>
      </c>
      <c r="F236" s="107">
        <f>VLOOKUP(H236,'PROJECT SUMMARY'!$C$26:$D$32,2,0)</f>
        <v>0</v>
      </c>
      <c r="G236" s="112">
        <f t="shared" si="133"/>
        <v>3.0225563909774431</v>
      </c>
      <c r="H236" s="178" t="s">
        <v>10</v>
      </c>
      <c r="I236" s="110">
        <v>0.4</v>
      </c>
      <c r="J236" s="80">
        <f t="shared" si="134"/>
        <v>1.2090225563909773</v>
      </c>
      <c r="K236" s="106">
        <v>47.5</v>
      </c>
      <c r="L236" s="106">
        <f t="shared" si="135"/>
        <v>57.428571428571423</v>
      </c>
      <c r="M236" s="106">
        <v>18.5</v>
      </c>
      <c r="N236" s="106">
        <f t="shared" si="136"/>
        <v>55.917293233082695</v>
      </c>
      <c r="O236" s="106">
        <f t="shared" si="137"/>
        <v>113.34586466165412</v>
      </c>
      <c r="P236" s="108"/>
    </row>
    <row r="237" spans="1:16" s="177" customFormat="1" x14ac:dyDescent="0.25">
      <c r="A237" s="109">
        <f>IF(G237&lt;&gt;"",1+MAX($A$13:A236),"")</f>
        <v>135</v>
      </c>
      <c r="B237" s="178" t="s">
        <v>381</v>
      </c>
      <c r="C237" s="178" t="s">
        <v>50</v>
      </c>
      <c r="D237" s="113" t="s">
        <v>338</v>
      </c>
      <c r="E237" s="112">
        <f>E234*3</f>
        <v>12.059999999999999</v>
      </c>
      <c r="F237" s="107">
        <f>VLOOKUP(H237,'PROJECT SUMMARY'!$C$26:$D$32,2,0)</f>
        <v>0.05</v>
      </c>
      <c r="G237" s="112">
        <f t="shared" si="133"/>
        <v>12.662999999999998</v>
      </c>
      <c r="H237" s="178" t="s">
        <v>11</v>
      </c>
      <c r="I237" s="110">
        <v>0.04</v>
      </c>
      <c r="J237" s="80">
        <f t="shared" ref="J235:J239" si="138">I237*G237</f>
        <v>0.50651999999999997</v>
      </c>
      <c r="K237" s="106">
        <v>47.5</v>
      </c>
      <c r="L237" s="106">
        <f t="shared" ref="L235:L239" si="139">K237*J237</f>
        <v>24.059699999999999</v>
      </c>
      <c r="M237" s="106">
        <v>1.85</v>
      </c>
      <c r="N237" s="106">
        <f t="shared" ref="N235:N239" si="140">M237*G237</f>
        <v>23.426549999999999</v>
      </c>
      <c r="O237" s="106">
        <f t="shared" ref="O235:O239" si="141">L237+N237</f>
        <v>47.486249999999998</v>
      </c>
      <c r="P237" s="108"/>
    </row>
    <row r="238" spans="1:16" s="177" customFormat="1" x14ac:dyDescent="0.25">
      <c r="A238" s="109">
        <f>IF(G238&lt;&gt;"",1+MAX($A$13:A237),"")</f>
        <v>136</v>
      </c>
      <c r="B238" s="178" t="s">
        <v>381</v>
      </c>
      <c r="C238" s="178" t="s">
        <v>50</v>
      </c>
      <c r="D238" s="113" t="s">
        <v>339</v>
      </c>
      <c r="E238" s="112">
        <f>E234*8.67</f>
        <v>34.853399999999993</v>
      </c>
      <c r="F238" s="107">
        <f>VLOOKUP(H238,'PROJECT SUMMARY'!$C$26:$D$32,2,0)</f>
        <v>0.05</v>
      </c>
      <c r="G238" s="112">
        <f t="shared" si="133"/>
        <v>36.596069999999997</v>
      </c>
      <c r="H238" s="178" t="s">
        <v>12</v>
      </c>
      <c r="I238" s="110">
        <v>1.4999999999999999E-2</v>
      </c>
      <c r="J238" s="80">
        <f t="shared" si="138"/>
        <v>0.54894104999999993</v>
      </c>
      <c r="K238" s="106">
        <v>47.5</v>
      </c>
      <c r="L238" s="106">
        <f t="shared" si="139"/>
        <v>26.074699874999997</v>
      </c>
      <c r="M238" s="106">
        <v>1.1000000000000001</v>
      </c>
      <c r="N238" s="106">
        <f t="shared" si="140"/>
        <v>40.255676999999999</v>
      </c>
      <c r="O238" s="106">
        <f t="shared" si="141"/>
        <v>66.330376874999999</v>
      </c>
      <c r="P238" s="108"/>
    </row>
    <row r="239" spans="1:16" s="177" customFormat="1" x14ac:dyDescent="0.25">
      <c r="A239" s="109">
        <f>IF(G239&lt;&gt;"",1+MAX($A$13:A238),"")</f>
        <v>137</v>
      </c>
      <c r="B239" s="178" t="s">
        <v>381</v>
      </c>
      <c r="C239" s="178" t="s">
        <v>50</v>
      </c>
      <c r="D239" s="113" t="s">
        <v>70</v>
      </c>
      <c r="E239" s="112">
        <f>E234*2</f>
        <v>8.0399999999999991</v>
      </c>
      <c r="F239" s="107">
        <f>VLOOKUP(H239,'PROJECT SUMMARY'!$C$26:$D$32,2,0)</f>
        <v>0.05</v>
      </c>
      <c r="G239" s="112">
        <f t="shared" si="133"/>
        <v>8.4420000000000002</v>
      </c>
      <c r="H239" s="178" t="s">
        <v>11</v>
      </c>
      <c r="I239" s="110">
        <v>7.0000000000000001E-3</v>
      </c>
      <c r="J239" s="80">
        <f t="shared" si="138"/>
        <v>5.9094000000000001E-2</v>
      </c>
      <c r="K239" s="106">
        <v>47.5</v>
      </c>
      <c r="L239" s="106">
        <f t="shared" si="139"/>
        <v>2.8069649999999999</v>
      </c>
      <c r="M239" s="106">
        <v>0.15</v>
      </c>
      <c r="N239" s="106">
        <f t="shared" si="140"/>
        <v>1.2663</v>
      </c>
      <c r="O239" s="106">
        <f t="shared" si="141"/>
        <v>4.0732650000000001</v>
      </c>
      <c r="P239" s="108"/>
    </row>
    <row r="240" spans="1:16" s="177" customFormat="1" x14ac:dyDescent="0.25">
      <c r="A240" s="109" t="str">
        <f>IF(G240&lt;&gt;"",1+MAX($A$13:A239),"")</f>
        <v/>
      </c>
      <c r="B240" s="178"/>
      <c r="C240" s="178"/>
      <c r="E240" s="112"/>
      <c r="F240" s="107"/>
      <c r="G240" s="112"/>
      <c r="H240" s="178"/>
      <c r="J240" s="80"/>
      <c r="K240" s="106"/>
      <c r="L240" s="106"/>
      <c r="M240" s="106"/>
      <c r="N240" s="106"/>
      <c r="O240" s="106"/>
      <c r="P240" s="108"/>
    </row>
    <row r="241" spans="1:16" s="177" customFormat="1" x14ac:dyDescent="0.25">
      <c r="A241" s="109" t="str">
        <f>IF(G241&lt;&gt;"",1+MAX($A$13:A240),"")</f>
        <v/>
      </c>
      <c r="B241" s="178"/>
      <c r="C241" s="178"/>
      <c r="D241" s="58" t="s">
        <v>359</v>
      </c>
      <c r="E241" s="79">
        <v>38.619999999999997</v>
      </c>
      <c r="F241" s="107"/>
      <c r="G241" s="112"/>
      <c r="H241" s="178" t="s">
        <v>11</v>
      </c>
      <c r="J241" s="80"/>
      <c r="K241" s="106"/>
      <c r="L241" s="106"/>
      <c r="M241" s="106"/>
      <c r="N241" s="106"/>
      <c r="O241" s="106"/>
      <c r="P241" s="108"/>
    </row>
    <row r="242" spans="1:16" s="177" customFormat="1" x14ac:dyDescent="0.25">
      <c r="A242" s="109">
        <f>IF(G242&lt;&gt;"",1+MAX($A$13:A241),"")</f>
        <v>138</v>
      </c>
      <c r="B242" s="178" t="s">
        <v>381</v>
      </c>
      <c r="C242" s="178" t="s">
        <v>50</v>
      </c>
      <c r="D242" s="113" t="s">
        <v>336</v>
      </c>
      <c r="E242" s="112">
        <f>E241*9.33/32</f>
        <v>11.260143749999999</v>
      </c>
      <c r="F242" s="107">
        <f>VLOOKUP(H242,'PROJECT SUMMARY'!$C$26:$D$32,2,0)</f>
        <v>0</v>
      </c>
      <c r="G242" s="112">
        <f t="shared" ref="G242:G246" si="142">E242*(1+F242)</f>
        <v>11.260143749999999</v>
      </c>
      <c r="H242" s="178" t="s">
        <v>10</v>
      </c>
      <c r="I242" s="110">
        <v>0.35</v>
      </c>
      <c r="J242" s="80">
        <f t="shared" ref="J242:J243" si="143">I242*G242</f>
        <v>3.9410503124999994</v>
      </c>
      <c r="K242" s="106">
        <v>47.5</v>
      </c>
      <c r="L242" s="106">
        <f t="shared" ref="L242:L243" si="144">K242*J242</f>
        <v>187.19988984374996</v>
      </c>
      <c r="M242" s="106">
        <v>9.6</v>
      </c>
      <c r="N242" s="106">
        <f t="shared" ref="N242:N243" si="145">M242*G242</f>
        <v>108.09737999999999</v>
      </c>
      <c r="O242" s="106">
        <f t="shared" ref="O242:O243" si="146">L242+N242</f>
        <v>295.29726984374997</v>
      </c>
      <c r="P242" s="108"/>
    </row>
    <row r="243" spans="1:16" s="177" customFormat="1" x14ac:dyDescent="0.25">
      <c r="A243" s="109">
        <f>IF(G243&lt;&gt;"",1+MAX($A$13:A242),"")</f>
        <v>139</v>
      </c>
      <c r="B243" s="178" t="s">
        <v>381</v>
      </c>
      <c r="C243" s="178" t="s">
        <v>50</v>
      </c>
      <c r="D243" s="113" t="s">
        <v>337</v>
      </c>
      <c r="E243" s="112">
        <f>E241/1.33</f>
        <v>29.037593984962403</v>
      </c>
      <c r="F243" s="107">
        <f>VLOOKUP(H243,'PROJECT SUMMARY'!$C$26:$D$32,2,0)</f>
        <v>0</v>
      </c>
      <c r="G243" s="112">
        <f t="shared" si="142"/>
        <v>29.037593984962403</v>
      </c>
      <c r="H243" s="178" t="s">
        <v>10</v>
      </c>
      <c r="I243" s="110">
        <v>0.4</v>
      </c>
      <c r="J243" s="80">
        <f t="shared" si="143"/>
        <v>11.615037593984962</v>
      </c>
      <c r="K243" s="106">
        <v>47.5</v>
      </c>
      <c r="L243" s="106">
        <f t="shared" si="144"/>
        <v>551.71428571428567</v>
      </c>
      <c r="M243" s="106">
        <v>18.5</v>
      </c>
      <c r="N243" s="106">
        <f t="shared" si="145"/>
        <v>537.1954887218044</v>
      </c>
      <c r="O243" s="106">
        <f t="shared" si="146"/>
        <v>1088.9097744360902</v>
      </c>
      <c r="P243" s="108"/>
    </row>
    <row r="244" spans="1:16" s="177" customFormat="1" x14ac:dyDescent="0.25">
      <c r="A244" s="109">
        <f>IF(G244&lt;&gt;"",1+MAX($A$13:A243),"")</f>
        <v>140</v>
      </c>
      <c r="B244" s="178" t="s">
        <v>381</v>
      </c>
      <c r="C244" s="178" t="s">
        <v>50</v>
      </c>
      <c r="D244" s="113" t="s">
        <v>338</v>
      </c>
      <c r="E244" s="112">
        <f>E241*3</f>
        <v>115.85999999999999</v>
      </c>
      <c r="F244" s="107">
        <f>VLOOKUP(H244,'PROJECT SUMMARY'!$C$26:$D$32,2,0)</f>
        <v>0.05</v>
      </c>
      <c r="G244" s="112">
        <f t="shared" si="142"/>
        <v>121.65299999999999</v>
      </c>
      <c r="H244" s="178" t="s">
        <v>11</v>
      </c>
      <c r="I244" s="110">
        <v>0.04</v>
      </c>
      <c r="J244" s="80">
        <f t="shared" ref="J242:J246" si="147">I244*G244</f>
        <v>4.8661199999999996</v>
      </c>
      <c r="K244" s="106">
        <v>47.5</v>
      </c>
      <c r="L244" s="106">
        <f t="shared" ref="L242:L246" si="148">K244*J244</f>
        <v>231.14069999999998</v>
      </c>
      <c r="M244" s="106">
        <v>1.85</v>
      </c>
      <c r="N244" s="106">
        <f t="shared" ref="N242:N246" si="149">M244*G244</f>
        <v>225.05805000000001</v>
      </c>
      <c r="O244" s="106">
        <f t="shared" ref="O242:O246" si="150">L244+N244</f>
        <v>456.19875000000002</v>
      </c>
      <c r="P244" s="108"/>
    </row>
    <row r="245" spans="1:16" s="177" customFormat="1" x14ac:dyDescent="0.25">
      <c r="A245" s="109">
        <f>IF(G245&lt;&gt;"",1+MAX($A$13:A244),"")</f>
        <v>141</v>
      </c>
      <c r="B245" s="178" t="s">
        <v>381</v>
      </c>
      <c r="C245" s="178" t="s">
        <v>50</v>
      </c>
      <c r="D245" s="113" t="s">
        <v>339</v>
      </c>
      <c r="E245" s="112">
        <f>E241*9.33</f>
        <v>360.32459999999998</v>
      </c>
      <c r="F245" s="107">
        <f>VLOOKUP(H245,'PROJECT SUMMARY'!$C$26:$D$32,2,0)</f>
        <v>0.05</v>
      </c>
      <c r="G245" s="112">
        <f t="shared" si="142"/>
        <v>378.34082999999998</v>
      </c>
      <c r="H245" s="178" t="s">
        <v>12</v>
      </c>
      <c r="I245" s="110">
        <v>1.4999999999999999E-2</v>
      </c>
      <c r="J245" s="80">
        <f t="shared" si="147"/>
        <v>5.6751124499999994</v>
      </c>
      <c r="K245" s="106">
        <v>47.5</v>
      </c>
      <c r="L245" s="106">
        <f t="shared" si="148"/>
        <v>269.567841375</v>
      </c>
      <c r="M245" s="106">
        <v>1.1000000000000001</v>
      </c>
      <c r="N245" s="106">
        <f t="shared" si="149"/>
        <v>416.174913</v>
      </c>
      <c r="O245" s="106">
        <f t="shared" si="150"/>
        <v>685.742754375</v>
      </c>
      <c r="P245" s="108"/>
    </row>
    <row r="246" spans="1:16" s="177" customFormat="1" x14ac:dyDescent="0.25">
      <c r="A246" s="109">
        <f>IF(G246&lt;&gt;"",1+MAX($A$13:A245),"")</f>
        <v>142</v>
      </c>
      <c r="B246" s="178" t="s">
        <v>381</v>
      </c>
      <c r="C246" s="178" t="s">
        <v>50</v>
      </c>
      <c r="D246" s="113" t="s">
        <v>70</v>
      </c>
      <c r="E246" s="112">
        <f>E241*2</f>
        <v>77.239999999999995</v>
      </c>
      <c r="F246" s="107">
        <f>VLOOKUP(H246,'PROJECT SUMMARY'!$C$26:$D$32,2,0)</f>
        <v>0.05</v>
      </c>
      <c r="G246" s="112">
        <f t="shared" si="142"/>
        <v>81.102000000000004</v>
      </c>
      <c r="H246" s="178" t="s">
        <v>11</v>
      </c>
      <c r="I246" s="110">
        <v>7.0000000000000001E-3</v>
      </c>
      <c r="J246" s="80">
        <f t="shared" si="147"/>
        <v>0.56771400000000005</v>
      </c>
      <c r="K246" s="106">
        <v>47.5</v>
      </c>
      <c r="L246" s="106">
        <f t="shared" si="148"/>
        <v>26.966415000000001</v>
      </c>
      <c r="M246" s="106">
        <v>0.15</v>
      </c>
      <c r="N246" s="106">
        <f t="shared" si="149"/>
        <v>12.1653</v>
      </c>
      <c r="O246" s="106">
        <f t="shared" si="150"/>
        <v>39.131715</v>
      </c>
      <c r="P246" s="108"/>
    </row>
    <row r="247" spans="1:16" s="177" customFormat="1" x14ac:dyDescent="0.25">
      <c r="A247" s="109" t="str">
        <f>IF(G247&lt;&gt;"",1+MAX($A$13:A246),"")</f>
        <v/>
      </c>
      <c r="B247" s="178"/>
      <c r="C247" s="178"/>
      <c r="E247" s="112"/>
      <c r="F247" s="107"/>
      <c r="G247" s="112"/>
      <c r="H247" s="178"/>
      <c r="J247" s="80"/>
      <c r="K247" s="106"/>
      <c r="L247" s="106"/>
      <c r="M247" s="106"/>
      <c r="N247" s="106"/>
      <c r="O247" s="106"/>
      <c r="P247" s="108"/>
    </row>
    <row r="248" spans="1:16" s="177" customFormat="1" x14ac:dyDescent="0.25">
      <c r="A248" s="109" t="str">
        <f>IF(G248&lt;&gt;"",1+MAX($A$13:A247),"")</f>
        <v/>
      </c>
      <c r="B248" s="178"/>
      <c r="C248" s="178"/>
      <c r="D248" s="58" t="s">
        <v>360</v>
      </c>
      <c r="E248" s="79">
        <v>8.6300000000000008</v>
      </c>
      <c r="F248" s="107"/>
      <c r="G248" s="112"/>
      <c r="H248" s="178" t="s">
        <v>11</v>
      </c>
      <c r="J248" s="80"/>
      <c r="K248" s="106"/>
      <c r="L248" s="106"/>
      <c r="M248" s="106"/>
      <c r="N248" s="106"/>
      <c r="O248" s="106"/>
      <c r="P248" s="108"/>
    </row>
    <row r="249" spans="1:16" s="177" customFormat="1" x14ac:dyDescent="0.25">
      <c r="A249" s="109">
        <f>IF(G249&lt;&gt;"",1+MAX($A$13:A248),"")</f>
        <v>143</v>
      </c>
      <c r="B249" s="178" t="s">
        <v>381</v>
      </c>
      <c r="C249" s="178" t="s">
        <v>50</v>
      </c>
      <c r="D249" s="113" t="s">
        <v>336</v>
      </c>
      <c r="E249" s="112">
        <f>E248*9.5/32</f>
        <v>2.5620312500000004</v>
      </c>
      <c r="F249" s="107">
        <f>VLOOKUP(H249,'PROJECT SUMMARY'!$C$26:$D$32,2,0)</f>
        <v>0</v>
      </c>
      <c r="G249" s="112">
        <f t="shared" ref="G249:G253" si="151">E249*(1+F249)</f>
        <v>2.5620312500000004</v>
      </c>
      <c r="H249" s="178" t="s">
        <v>10</v>
      </c>
      <c r="I249" s="110">
        <v>0.35</v>
      </c>
      <c r="J249" s="80">
        <f t="shared" ref="J249:J250" si="152">I249*G249</f>
        <v>0.89671093750000008</v>
      </c>
      <c r="K249" s="106">
        <v>47.5</v>
      </c>
      <c r="L249" s="106">
        <f t="shared" ref="L249:L250" si="153">K249*J249</f>
        <v>42.593769531250004</v>
      </c>
      <c r="M249" s="106">
        <v>9.6</v>
      </c>
      <c r="N249" s="106">
        <f t="shared" ref="N249:N250" si="154">M249*G249</f>
        <v>24.595500000000005</v>
      </c>
      <c r="O249" s="106">
        <f t="shared" ref="O249:O250" si="155">L249+N249</f>
        <v>67.189269531250005</v>
      </c>
      <c r="P249" s="108"/>
    </row>
    <row r="250" spans="1:16" s="177" customFormat="1" x14ac:dyDescent="0.25">
      <c r="A250" s="109">
        <f>IF(G250&lt;&gt;"",1+MAX($A$13:A249),"")</f>
        <v>144</v>
      </c>
      <c r="B250" s="178" t="s">
        <v>381</v>
      </c>
      <c r="C250" s="178" t="s">
        <v>50</v>
      </c>
      <c r="D250" s="113" t="s">
        <v>337</v>
      </c>
      <c r="E250" s="112">
        <f>E248/1.33</f>
        <v>6.488721804511278</v>
      </c>
      <c r="F250" s="107">
        <f>VLOOKUP(H250,'PROJECT SUMMARY'!$C$26:$D$32,2,0)</f>
        <v>0</v>
      </c>
      <c r="G250" s="112">
        <f t="shared" si="151"/>
        <v>6.488721804511278</v>
      </c>
      <c r="H250" s="178" t="s">
        <v>10</v>
      </c>
      <c r="I250" s="110">
        <v>0.4</v>
      </c>
      <c r="J250" s="80">
        <f t="shared" si="152"/>
        <v>2.5954887218045113</v>
      </c>
      <c r="K250" s="106">
        <v>47.5</v>
      </c>
      <c r="L250" s="106">
        <f t="shared" si="153"/>
        <v>123.28571428571429</v>
      </c>
      <c r="M250" s="106">
        <v>18.5</v>
      </c>
      <c r="N250" s="106">
        <f t="shared" si="154"/>
        <v>120.04135338345864</v>
      </c>
      <c r="O250" s="106">
        <f t="shared" si="155"/>
        <v>243.32706766917295</v>
      </c>
      <c r="P250" s="108"/>
    </row>
    <row r="251" spans="1:16" s="177" customFormat="1" x14ac:dyDescent="0.25">
      <c r="A251" s="109">
        <f>IF(G251&lt;&gt;"",1+MAX($A$13:A250),"")</f>
        <v>145</v>
      </c>
      <c r="B251" s="178" t="s">
        <v>381</v>
      </c>
      <c r="C251" s="178" t="s">
        <v>50</v>
      </c>
      <c r="D251" s="113" t="s">
        <v>338</v>
      </c>
      <c r="E251" s="112">
        <f>E248*3</f>
        <v>25.89</v>
      </c>
      <c r="F251" s="107">
        <f>VLOOKUP(H251,'PROJECT SUMMARY'!$C$26:$D$32,2,0)</f>
        <v>0.05</v>
      </c>
      <c r="G251" s="112">
        <f t="shared" si="151"/>
        <v>27.184500000000003</v>
      </c>
      <c r="H251" s="178" t="s">
        <v>11</v>
      </c>
      <c r="I251" s="110">
        <v>0.04</v>
      </c>
      <c r="J251" s="80">
        <f t="shared" ref="J249:J253" si="156">I251*G251</f>
        <v>1.0873800000000002</v>
      </c>
      <c r="K251" s="106">
        <v>47.5</v>
      </c>
      <c r="L251" s="106">
        <f t="shared" ref="L249:L253" si="157">K251*J251</f>
        <v>51.65055000000001</v>
      </c>
      <c r="M251" s="106">
        <v>1.85</v>
      </c>
      <c r="N251" s="106">
        <f t="shared" ref="N249:N253" si="158">M251*G251</f>
        <v>50.291325000000008</v>
      </c>
      <c r="O251" s="106">
        <f t="shared" ref="O249:O253" si="159">L251+N251</f>
        <v>101.94187500000001</v>
      </c>
      <c r="P251" s="108"/>
    </row>
    <row r="252" spans="1:16" s="177" customFormat="1" x14ac:dyDescent="0.25">
      <c r="A252" s="109">
        <f>IF(G252&lt;&gt;"",1+MAX($A$13:A251),"")</f>
        <v>146</v>
      </c>
      <c r="B252" s="178" t="s">
        <v>381</v>
      </c>
      <c r="C252" s="178" t="s">
        <v>50</v>
      </c>
      <c r="D252" s="113" t="s">
        <v>339</v>
      </c>
      <c r="E252" s="112">
        <f>E248*9.5</f>
        <v>81.985000000000014</v>
      </c>
      <c r="F252" s="107">
        <f>VLOOKUP(H252,'PROJECT SUMMARY'!$C$26:$D$32,2,0)</f>
        <v>0.05</v>
      </c>
      <c r="G252" s="112">
        <f t="shared" si="151"/>
        <v>86.084250000000011</v>
      </c>
      <c r="H252" s="178" t="s">
        <v>12</v>
      </c>
      <c r="I252" s="110">
        <v>1.4999999999999999E-2</v>
      </c>
      <c r="J252" s="80">
        <f t="shared" si="156"/>
        <v>1.2912637500000002</v>
      </c>
      <c r="K252" s="106">
        <v>47.5</v>
      </c>
      <c r="L252" s="106">
        <f t="shared" si="157"/>
        <v>61.335028125000008</v>
      </c>
      <c r="M252" s="106">
        <v>1.1000000000000001</v>
      </c>
      <c r="N252" s="106">
        <f t="shared" si="158"/>
        <v>94.692675000000023</v>
      </c>
      <c r="O252" s="106">
        <f t="shared" si="159"/>
        <v>156.02770312500002</v>
      </c>
      <c r="P252" s="108"/>
    </row>
    <row r="253" spans="1:16" s="177" customFormat="1" x14ac:dyDescent="0.25">
      <c r="A253" s="109">
        <f>IF(G253&lt;&gt;"",1+MAX($A$13:A252),"")</f>
        <v>147</v>
      </c>
      <c r="B253" s="178" t="s">
        <v>381</v>
      </c>
      <c r="C253" s="178" t="s">
        <v>50</v>
      </c>
      <c r="D253" s="113" t="s">
        <v>70</v>
      </c>
      <c r="E253" s="112">
        <f>E248*2</f>
        <v>17.260000000000002</v>
      </c>
      <c r="F253" s="107">
        <f>VLOOKUP(H253,'PROJECT SUMMARY'!$C$26:$D$32,2,0)</f>
        <v>0.05</v>
      </c>
      <c r="G253" s="112">
        <f t="shared" si="151"/>
        <v>18.123000000000001</v>
      </c>
      <c r="H253" s="178" t="s">
        <v>11</v>
      </c>
      <c r="I253" s="110">
        <v>7.0000000000000001E-3</v>
      </c>
      <c r="J253" s="80">
        <f t="shared" si="156"/>
        <v>0.126861</v>
      </c>
      <c r="K253" s="106">
        <v>47.5</v>
      </c>
      <c r="L253" s="106">
        <f t="shared" si="157"/>
        <v>6.0258975000000001</v>
      </c>
      <c r="M253" s="106">
        <v>0.15</v>
      </c>
      <c r="N253" s="106">
        <f t="shared" si="158"/>
        <v>2.7184500000000003</v>
      </c>
      <c r="O253" s="106">
        <f t="shared" si="159"/>
        <v>8.7443474999999999</v>
      </c>
      <c r="P253" s="108"/>
    </row>
    <row r="254" spans="1:16" s="177" customFormat="1" x14ac:dyDescent="0.25">
      <c r="A254" s="109" t="str">
        <f>IF(G254&lt;&gt;"",1+MAX($A$13:A253),"")</f>
        <v/>
      </c>
      <c r="B254" s="178"/>
      <c r="C254" s="178"/>
      <c r="E254" s="112"/>
      <c r="F254" s="107"/>
      <c r="G254" s="112"/>
      <c r="H254" s="178"/>
      <c r="J254" s="80"/>
      <c r="K254" s="106"/>
      <c r="L254" s="106"/>
      <c r="M254" s="106"/>
      <c r="N254" s="106"/>
      <c r="O254" s="106"/>
      <c r="P254" s="108"/>
    </row>
    <row r="255" spans="1:16" s="177" customFormat="1" x14ac:dyDescent="0.25">
      <c r="A255" s="109" t="str">
        <f>IF(G255&lt;&gt;"",1+MAX($A$13:A254),"")</f>
        <v/>
      </c>
      <c r="B255" s="178"/>
      <c r="C255" s="178"/>
      <c r="D255" s="58" t="s">
        <v>360</v>
      </c>
      <c r="E255" s="79">
        <v>11.36</v>
      </c>
      <c r="F255" s="107"/>
      <c r="G255" s="112"/>
      <c r="H255" s="178" t="s">
        <v>11</v>
      </c>
      <c r="J255" s="80"/>
      <c r="K255" s="106"/>
      <c r="L255" s="106"/>
      <c r="M255" s="106"/>
      <c r="N255" s="106"/>
      <c r="O255" s="106"/>
      <c r="P255" s="108"/>
    </row>
    <row r="256" spans="1:16" s="177" customFormat="1" x14ac:dyDescent="0.25">
      <c r="A256" s="109">
        <f>IF(G256&lt;&gt;"",1+MAX($A$13:A255),"")</f>
        <v>148</v>
      </c>
      <c r="B256" s="178" t="s">
        <v>381</v>
      </c>
      <c r="C256" s="178" t="s">
        <v>50</v>
      </c>
      <c r="D256" s="113" t="s">
        <v>346</v>
      </c>
      <c r="E256" s="112">
        <f>E255*9.5/32</f>
        <v>3.3724999999999996</v>
      </c>
      <c r="F256" s="107">
        <f>VLOOKUP(H256,'PROJECT SUMMARY'!$C$26:$D$32,2,0)</f>
        <v>0</v>
      </c>
      <c r="G256" s="112">
        <f t="shared" ref="G256:G260" si="160">E256*(1+F256)</f>
        <v>3.3724999999999996</v>
      </c>
      <c r="H256" s="178" t="s">
        <v>10</v>
      </c>
      <c r="I256" s="110">
        <v>0.35</v>
      </c>
      <c r="J256" s="80">
        <f t="shared" ref="J256:J257" si="161">I256*G256</f>
        <v>1.1803749999999997</v>
      </c>
      <c r="K256" s="106">
        <v>47.5</v>
      </c>
      <c r="L256" s="106">
        <f t="shared" ref="L256:L257" si="162">K256*J256</f>
        <v>56.067812499999988</v>
      </c>
      <c r="M256" s="106">
        <v>11</v>
      </c>
      <c r="N256" s="106">
        <f t="shared" ref="N256:N257" si="163">M256*G256</f>
        <v>37.097499999999997</v>
      </c>
      <c r="O256" s="106">
        <f t="shared" ref="O256:O257" si="164">L256+N256</f>
        <v>93.165312499999985</v>
      </c>
      <c r="P256" s="108"/>
    </row>
    <row r="257" spans="1:16" s="177" customFormat="1" x14ac:dyDescent="0.25">
      <c r="A257" s="109">
        <f>IF(G257&lt;&gt;"",1+MAX($A$13:A256),"")</f>
        <v>149</v>
      </c>
      <c r="B257" s="178" t="s">
        <v>381</v>
      </c>
      <c r="C257" s="178" t="s">
        <v>50</v>
      </c>
      <c r="D257" s="113" t="s">
        <v>337</v>
      </c>
      <c r="E257" s="112">
        <f>E255/1.33</f>
        <v>8.5413533834586453</v>
      </c>
      <c r="F257" s="107">
        <f>VLOOKUP(H257,'PROJECT SUMMARY'!$C$26:$D$32,2,0)</f>
        <v>0</v>
      </c>
      <c r="G257" s="112">
        <f t="shared" si="160"/>
        <v>8.5413533834586453</v>
      </c>
      <c r="H257" s="178" t="s">
        <v>10</v>
      </c>
      <c r="I257" s="110">
        <v>0.4</v>
      </c>
      <c r="J257" s="80">
        <f t="shared" si="161"/>
        <v>3.4165413533834581</v>
      </c>
      <c r="K257" s="106">
        <v>47.5</v>
      </c>
      <c r="L257" s="106">
        <f t="shared" si="162"/>
        <v>162.28571428571425</v>
      </c>
      <c r="M257" s="106">
        <v>18.5</v>
      </c>
      <c r="N257" s="106">
        <f t="shared" si="163"/>
        <v>158.01503759398494</v>
      </c>
      <c r="O257" s="106">
        <f t="shared" si="164"/>
        <v>320.30075187969919</v>
      </c>
      <c r="P257" s="108"/>
    </row>
    <row r="258" spans="1:16" s="177" customFormat="1" x14ac:dyDescent="0.25">
      <c r="A258" s="109">
        <f>IF(G258&lt;&gt;"",1+MAX($A$13:A257),"")</f>
        <v>150</v>
      </c>
      <c r="B258" s="178" t="s">
        <v>381</v>
      </c>
      <c r="C258" s="178" t="s">
        <v>50</v>
      </c>
      <c r="D258" s="113" t="s">
        <v>338</v>
      </c>
      <c r="E258" s="112">
        <f>E255*3</f>
        <v>34.08</v>
      </c>
      <c r="F258" s="107">
        <f>VLOOKUP(H258,'PROJECT SUMMARY'!$C$26:$D$32,2,0)</f>
        <v>0.05</v>
      </c>
      <c r="G258" s="112">
        <f t="shared" si="160"/>
        <v>35.783999999999999</v>
      </c>
      <c r="H258" s="178" t="s">
        <v>11</v>
      </c>
      <c r="I258" s="110">
        <v>0.04</v>
      </c>
      <c r="J258" s="80">
        <f t="shared" ref="J256:J260" si="165">I258*G258</f>
        <v>1.43136</v>
      </c>
      <c r="K258" s="106">
        <v>47.5</v>
      </c>
      <c r="L258" s="106">
        <f t="shared" ref="L256:L260" si="166">K258*J258</f>
        <v>67.989599999999996</v>
      </c>
      <c r="M258" s="106">
        <v>1.85</v>
      </c>
      <c r="N258" s="106">
        <f t="shared" ref="N256:N260" si="167">M258*G258</f>
        <v>66.200400000000002</v>
      </c>
      <c r="O258" s="106">
        <f t="shared" ref="O256:O260" si="168">L258+N258</f>
        <v>134.19</v>
      </c>
      <c r="P258" s="108"/>
    </row>
    <row r="259" spans="1:16" s="177" customFormat="1" x14ac:dyDescent="0.25">
      <c r="A259" s="109">
        <f>IF(G259&lt;&gt;"",1+MAX($A$13:A258),"")</f>
        <v>151</v>
      </c>
      <c r="B259" s="178" t="s">
        <v>381</v>
      </c>
      <c r="C259" s="178" t="s">
        <v>50</v>
      </c>
      <c r="D259" s="113" t="s">
        <v>339</v>
      </c>
      <c r="E259" s="112">
        <f>E255*9.5</f>
        <v>107.91999999999999</v>
      </c>
      <c r="F259" s="107">
        <f>VLOOKUP(H259,'PROJECT SUMMARY'!$C$26:$D$32,2,0)</f>
        <v>0.05</v>
      </c>
      <c r="G259" s="112">
        <f t="shared" si="160"/>
        <v>113.31599999999999</v>
      </c>
      <c r="H259" s="178" t="s">
        <v>12</v>
      </c>
      <c r="I259" s="110">
        <v>1.4999999999999999E-2</v>
      </c>
      <c r="J259" s="80">
        <f t="shared" si="165"/>
        <v>1.6997399999999998</v>
      </c>
      <c r="K259" s="106">
        <v>47.5</v>
      </c>
      <c r="L259" s="106">
        <f t="shared" si="166"/>
        <v>80.737649999999988</v>
      </c>
      <c r="M259" s="106">
        <v>1.1000000000000001</v>
      </c>
      <c r="N259" s="106">
        <f t="shared" si="167"/>
        <v>124.6476</v>
      </c>
      <c r="O259" s="106">
        <f t="shared" si="168"/>
        <v>205.38524999999998</v>
      </c>
      <c r="P259" s="108"/>
    </row>
    <row r="260" spans="1:16" s="177" customFormat="1" x14ac:dyDescent="0.25">
      <c r="A260" s="109">
        <f>IF(G260&lt;&gt;"",1+MAX($A$13:A259),"")</f>
        <v>152</v>
      </c>
      <c r="B260" s="178" t="s">
        <v>381</v>
      </c>
      <c r="C260" s="178" t="s">
        <v>50</v>
      </c>
      <c r="D260" s="113" t="s">
        <v>70</v>
      </c>
      <c r="E260" s="112">
        <f>E255*2</f>
        <v>22.72</v>
      </c>
      <c r="F260" s="107">
        <f>VLOOKUP(H260,'PROJECT SUMMARY'!$C$26:$D$32,2,0)</f>
        <v>0.05</v>
      </c>
      <c r="G260" s="112">
        <f t="shared" si="160"/>
        <v>23.855999999999998</v>
      </c>
      <c r="H260" s="178" t="s">
        <v>11</v>
      </c>
      <c r="I260" s="110">
        <v>7.0000000000000001E-3</v>
      </c>
      <c r="J260" s="80">
        <f t="shared" si="165"/>
        <v>0.166992</v>
      </c>
      <c r="K260" s="106">
        <v>47.5</v>
      </c>
      <c r="L260" s="106">
        <f t="shared" si="166"/>
        <v>7.9321200000000003</v>
      </c>
      <c r="M260" s="106">
        <v>0.15</v>
      </c>
      <c r="N260" s="106">
        <f t="shared" si="167"/>
        <v>3.5783999999999998</v>
      </c>
      <c r="O260" s="106">
        <f t="shared" si="168"/>
        <v>11.51052</v>
      </c>
      <c r="P260" s="108"/>
    </row>
    <row r="261" spans="1:16" s="177" customFormat="1" x14ac:dyDescent="0.25">
      <c r="A261" s="109" t="str">
        <f>IF(G261&lt;&gt;"",1+MAX($A$13:A260),"")</f>
        <v/>
      </c>
      <c r="B261" s="178"/>
      <c r="C261" s="178"/>
      <c r="E261" s="112"/>
      <c r="F261" s="107"/>
      <c r="G261" s="112"/>
      <c r="H261" s="178"/>
      <c r="J261" s="80"/>
      <c r="K261" s="106"/>
      <c r="L261" s="106"/>
      <c r="M261" s="106"/>
      <c r="N261" s="106"/>
      <c r="O261" s="106"/>
      <c r="P261" s="108"/>
    </row>
    <row r="262" spans="1:16" s="177" customFormat="1" x14ac:dyDescent="0.25">
      <c r="A262" s="109" t="str">
        <f>IF(G262&lt;&gt;"",1+MAX($A$13:A261),"")</f>
        <v/>
      </c>
      <c r="B262" s="178"/>
      <c r="C262" s="178"/>
      <c r="D262" s="58" t="s">
        <v>358</v>
      </c>
      <c r="E262" s="79">
        <v>130.88999999999999</v>
      </c>
      <c r="F262" s="107"/>
      <c r="G262" s="112"/>
      <c r="H262" s="178" t="s">
        <v>11</v>
      </c>
      <c r="J262" s="80"/>
      <c r="K262" s="106"/>
      <c r="L262" s="106"/>
      <c r="M262" s="106"/>
      <c r="N262" s="106"/>
      <c r="O262" s="106"/>
      <c r="P262" s="108"/>
    </row>
    <row r="263" spans="1:16" s="177" customFormat="1" x14ac:dyDescent="0.25">
      <c r="A263" s="109">
        <f>IF(G263&lt;&gt;"",1+MAX($A$13:A262),"")</f>
        <v>153</v>
      </c>
      <c r="B263" s="178" t="s">
        <v>381</v>
      </c>
      <c r="C263" s="178" t="s">
        <v>50</v>
      </c>
      <c r="D263" s="113" t="s">
        <v>336</v>
      </c>
      <c r="E263" s="112">
        <f>E262*9.83/32</f>
        <v>40.207771874999999</v>
      </c>
      <c r="F263" s="107">
        <f>VLOOKUP(H263,'PROJECT SUMMARY'!$C$26:$D$32,2,0)</f>
        <v>0</v>
      </c>
      <c r="G263" s="112">
        <f t="shared" ref="G263:G267" si="169">E263*(1+F263)</f>
        <v>40.207771874999999</v>
      </c>
      <c r="H263" s="178" t="s">
        <v>10</v>
      </c>
      <c r="I263" s="110">
        <v>0.35</v>
      </c>
      <c r="J263" s="80">
        <f t="shared" ref="J263:J264" si="170">I263*G263</f>
        <v>14.072720156249998</v>
      </c>
      <c r="K263" s="106">
        <v>47.5</v>
      </c>
      <c r="L263" s="106">
        <f t="shared" ref="L263:L264" si="171">K263*J263</f>
        <v>668.45420742187491</v>
      </c>
      <c r="M263" s="106">
        <v>9.6</v>
      </c>
      <c r="N263" s="106">
        <f t="shared" ref="N263:N264" si="172">M263*G263</f>
        <v>385.99460999999997</v>
      </c>
      <c r="O263" s="106">
        <f t="shared" ref="O263:O264" si="173">L263+N263</f>
        <v>1054.448817421875</v>
      </c>
      <c r="P263" s="108"/>
    </row>
    <row r="264" spans="1:16" s="177" customFormat="1" x14ac:dyDescent="0.25">
      <c r="A264" s="109">
        <f>IF(G264&lt;&gt;"",1+MAX($A$13:A263),"")</f>
        <v>154</v>
      </c>
      <c r="B264" s="178" t="s">
        <v>381</v>
      </c>
      <c r="C264" s="178" t="s">
        <v>50</v>
      </c>
      <c r="D264" s="113" t="s">
        <v>337</v>
      </c>
      <c r="E264" s="112">
        <f>E262/1.33</f>
        <v>98.413533834586445</v>
      </c>
      <c r="F264" s="107">
        <f>VLOOKUP(H264,'PROJECT SUMMARY'!$C$26:$D$32,2,0)</f>
        <v>0</v>
      </c>
      <c r="G264" s="112">
        <f t="shared" si="169"/>
        <v>98.413533834586445</v>
      </c>
      <c r="H264" s="178" t="s">
        <v>10</v>
      </c>
      <c r="I264" s="110">
        <v>0.4</v>
      </c>
      <c r="J264" s="80">
        <f t="shared" si="170"/>
        <v>39.365413533834584</v>
      </c>
      <c r="K264" s="106">
        <v>47.5</v>
      </c>
      <c r="L264" s="106">
        <f t="shared" si="171"/>
        <v>1869.8571428571427</v>
      </c>
      <c r="M264" s="106">
        <v>18.5</v>
      </c>
      <c r="N264" s="106">
        <f t="shared" si="172"/>
        <v>1820.6503759398493</v>
      </c>
      <c r="O264" s="106">
        <f t="shared" si="173"/>
        <v>3690.5075187969919</v>
      </c>
      <c r="P264" s="108"/>
    </row>
    <row r="265" spans="1:16" s="177" customFormat="1" x14ac:dyDescent="0.25">
      <c r="A265" s="109">
        <f>IF(G265&lt;&gt;"",1+MAX($A$13:A264),"")</f>
        <v>155</v>
      </c>
      <c r="B265" s="178" t="s">
        <v>381</v>
      </c>
      <c r="C265" s="178" t="s">
        <v>50</v>
      </c>
      <c r="D265" s="113" t="s">
        <v>338</v>
      </c>
      <c r="E265" s="112">
        <f>E262*3</f>
        <v>392.66999999999996</v>
      </c>
      <c r="F265" s="107">
        <f>VLOOKUP(H265,'PROJECT SUMMARY'!$C$26:$D$32,2,0)</f>
        <v>0.05</v>
      </c>
      <c r="G265" s="112">
        <f t="shared" si="169"/>
        <v>412.30349999999999</v>
      </c>
      <c r="H265" s="178" t="s">
        <v>11</v>
      </c>
      <c r="I265" s="110">
        <v>0.04</v>
      </c>
      <c r="J265" s="80">
        <f t="shared" ref="J263:J267" si="174">I265*G265</f>
        <v>16.492139999999999</v>
      </c>
      <c r="K265" s="106">
        <v>47.5</v>
      </c>
      <c r="L265" s="106">
        <f t="shared" ref="L263:L267" si="175">K265*J265</f>
        <v>783.37664999999993</v>
      </c>
      <c r="M265" s="106">
        <v>1.85</v>
      </c>
      <c r="N265" s="106">
        <f t="shared" ref="N263:N267" si="176">M265*G265</f>
        <v>762.76147500000002</v>
      </c>
      <c r="O265" s="106">
        <f t="shared" ref="O263:O267" si="177">L265+N265</f>
        <v>1546.1381249999999</v>
      </c>
      <c r="P265" s="108"/>
    </row>
    <row r="266" spans="1:16" s="177" customFormat="1" x14ac:dyDescent="0.25">
      <c r="A266" s="109">
        <f>IF(G266&lt;&gt;"",1+MAX($A$13:A265),"")</f>
        <v>156</v>
      </c>
      <c r="B266" s="178" t="s">
        <v>381</v>
      </c>
      <c r="C266" s="178" t="s">
        <v>50</v>
      </c>
      <c r="D266" s="113" t="s">
        <v>339</v>
      </c>
      <c r="E266" s="112">
        <f>E262*9.83</f>
        <v>1286.6487</v>
      </c>
      <c r="F266" s="107">
        <f>VLOOKUP(H266,'PROJECT SUMMARY'!$C$26:$D$32,2,0)</f>
        <v>0.05</v>
      </c>
      <c r="G266" s="112">
        <f t="shared" si="169"/>
        <v>1350.981135</v>
      </c>
      <c r="H266" s="178" t="s">
        <v>12</v>
      </c>
      <c r="I266" s="110">
        <v>1.4999999999999999E-2</v>
      </c>
      <c r="J266" s="80">
        <f t="shared" si="174"/>
        <v>20.264717024999999</v>
      </c>
      <c r="K266" s="106">
        <v>47.5</v>
      </c>
      <c r="L266" s="106">
        <f t="shared" si="175"/>
        <v>962.57405868749993</v>
      </c>
      <c r="M266" s="106">
        <v>1.1000000000000001</v>
      </c>
      <c r="N266" s="106">
        <f t="shared" si="176"/>
        <v>1486.0792485000002</v>
      </c>
      <c r="O266" s="106">
        <f t="shared" si="177"/>
        <v>2448.6533071875001</v>
      </c>
      <c r="P266" s="108"/>
    </row>
    <row r="267" spans="1:16" s="177" customFormat="1" x14ac:dyDescent="0.25">
      <c r="A267" s="109">
        <f>IF(G267&lt;&gt;"",1+MAX($A$13:A266),"")</f>
        <v>157</v>
      </c>
      <c r="B267" s="178" t="s">
        <v>381</v>
      </c>
      <c r="C267" s="178" t="s">
        <v>50</v>
      </c>
      <c r="D267" s="113" t="s">
        <v>70</v>
      </c>
      <c r="E267" s="112">
        <f>E262*2</f>
        <v>261.77999999999997</v>
      </c>
      <c r="F267" s="107">
        <f>VLOOKUP(H267,'PROJECT SUMMARY'!$C$26:$D$32,2,0)</f>
        <v>0.05</v>
      </c>
      <c r="G267" s="112">
        <f t="shared" si="169"/>
        <v>274.86899999999997</v>
      </c>
      <c r="H267" s="178" t="s">
        <v>11</v>
      </c>
      <c r="I267" s="110">
        <v>7.0000000000000001E-3</v>
      </c>
      <c r="J267" s="80">
        <f t="shared" si="174"/>
        <v>1.9240829999999998</v>
      </c>
      <c r="K267" s="106">
        <v>47.5</v>
      </c>
      <c r="L267" s="106">
        <f t="shared" si="175"/>
        <v>91.393942499999994</v>
      </c>
      <c r="M267" s="106">
        <v>0.15</v>
      </c>
      <c r="N267" s="106">
        <f t="shared" si="176"/>
        <v>41.230349999999994</v>
      </c>
      <c r="O267" s="106">
        <f t="shared" si="177"/>
        <v>132.6242925</v>
      </c>
      <c r="P267" s="108"/>
    </row>
    <row r="268" spans="1:16" s="177" customFormat="1" x14ac:dyDescent="0.25">
      <c r="A268" s="109" t="str">
        <f>IF(G268&lt;&gt;"",1+MAX($A$13:A267),"")</f>
        <v/>
      </c>
      <c r="B268" s="178"/>
      <c r="C268" s="178"/>
      <c r="E268" s="112"/>
      <c r="F268" s="107"/>
      <c r="G268" s="112"/>
      <c r="H268" s="178"/>
      <c r="J268" s="80"/>
      <c r="K268" s="106"/>
      <c r="L268" s="106"/>
      <c r="M268" s="106"/>
      <c r="N268" s="106"/>
      <c r="O268" s="106"/>
      <c r="P268" s="108"/>
    </row>
    <row r="269" spans="1:16" s="177" customFormat="1" x14ac:dyDescent="0.25">
      <c r="A269" s="109" t="str">
        <f>IF(G269&lt;&gt;"",1+MAX($A$13:A268),"")</f>
        <v/>
      </c>
      <c r="B269" s="178"/>
      <c r="C269" s="178"/>
      <c r="D269" s="58" t="s">
        <v>358</v>
      </c>
      <c r="E269" s="79">
        <v>13.36</v>
      </c>
      <c r="F269" s="107"/>
      <c r="G269" s="112"/>
      <c r="H269" s="178" t="s">
        <v>11</v>
      </c>
      <c r="J269" s="80"/>
      <c r="K269" s="106"/>
      <c r="L269" s="106"/>
      <c r="M269" s="106"/>
      <c r="N269" s="106"/>
      <c r="O269" s="106"/>
      <c r="P269" s="108"/>
    </row>
    <row r="270" spans="1:16" s="177" customFormat="1" x14ac:dyDescent="0.25">
      <c r="A270" s="109">
        <f>IF(G270&lt;&gt;"",1+MAX($A$13:A269),"")</f>
        <v>158</v>
      </c>
      <c r="B270" s="178" t="s">
        <v>381</v>
      </c>
      <c r="C270" s="178" t="s">
        <v>50</v>
      </c>
      <c r="D270" s="113" t="s">
        <v>346</v>
      </c>
      <c r="E270" s="112">
        <f>E269*9.83/32</f>
        <v>4.104025</v>
      </c>
      <c r="F270" s="107">
        <f>VLOOKUP(H270,'PROJECT SUMMARY'!$C$26:$D$32,2,0)</f>
        <v>0</v>
      </c>
      <c r="G270" s="112">
        <f t="shared" ref="G270:G274" si="178">E270*(1+F270)</f>
        <v>4.104025</v>
      </c>
      <c r="H270" s="178" t="s">
        <v>10</v>
      </c>
      <c r="I270" s="110">
        <v>0.35</v>
      </c>
      <c r="J270" s="80">
        <f t="shared" ref="J270:J271" si="179">I270*G270</f>
        <v>1.43640875</v>
      </c>
      <c r="K270" s="106">
        <v>47.5</v>
      </c>
      <c r="L270" s="106">
        <f t="shared" ref="L270:L271" si="180">K270*J270</f>
        <v>68.229415625000001</v>
      </c>
      <c r="M270" s="106">
        <v>11</v>
      </c>
      <c r="N270" s="106">
        <f t="shared" ref="N270:N271" si="181">M270*G270</f>
        <v>45.144275</v>
      </c>
      <c r="O270" s="106">
        <f t="shared" ref="O270:O271" si="182">L270+N270</f>
        <v>113.37369062499999</v>
      </c>
      <c r="P270" s="108"/>
    </row>
    <row r="271" spans="1:16" s="177" customFormat="1" x14ac:dyDescent="0.25">
      <c r="A271" s="109">
        <f>IF(G271&lt;&gt;"",1+MAX($A$13:A270),"")</f>
        <v>159</v>
      </c>
      <c r="B271" s="178" t="s">
        <v>381</v>
      </c>
      <c r="C271" s="178" t="s">
        <v>50</v>
      </c>
      <c r="D271" s="113" t="s">
        <v>337</v>
      </c>
      <c r="E271" s="112">
        <f>E269/1.33</f>
        <v>10.045112781954886</v>
      </c>
      <c r="F271" s="107">
        <f>VLOOKUP(H271,'PROJECT SUMMARY'!$C$26:$D$32,2,0)</f>
        <v>0</v>
      </c>
      <c r="G271" s="112">
        <f t="shared" si="178"/>
        <v>10.045112781954886</v>
      </c>
      <c r="H271" s="178" t="s">
        <v>10</v>
      </c>
      <c r="I271" s="110">
        <v>0.4</v>
      </c>
      <c r="J271" s="80">
        <f t="shared" si="179"/>
        <v>4.0180451127819543</v>
      </c>
      <c r="K271" s="106">
        <v>47.5</v>
      </c>
      <c r="L271" s="106">
        <f t="shared" si="180"/>
        <v>190.85714285714283</v>
      </c>
      <c r="M271" s="106">
        <v>18.5</v>
      </c>
      <c r="N271" s="106">
        <f t="shared" si="181"/>
        <v>185.8345864661654</v>
      </c>
      <c r="O271" s="106">
        <f t="shared" si="182"/>
        <v>376.69172932330821</v>
      </c>
      <c r="P271" s="108"/>
    </row>
    <row r="272" spans="1:16" s="177" customFormat="1" x14ac:dyDescent="0.25">
      <c r="A272" s="109">
        <f>IF(G272&lt;&gt;"",1+MAX($A$13:A271),"")</f>
        <v>160</v>
      </c>
      <c r="B272" s="178" t="s">
        <v>381</v>
      </c>
      <c r="C272" s="178" t="s">
        <v>50</v>
      </c>
      <c r="D272" s="113" t="s">
        <v>338</v>
      </c>
      <c r="E272" s="112">
        <f>E269*3</f>
        <v>40.08</v>
      </c>
      <c r="F272" s="107">
        <f>VLOOKUP(H272,'PROJECT SUMMARY'!$C$26:$D$32,2,0)</f>
        <v>0.05</v>
      </c>
      <c r="G272" s="112">
        <f t="shared" si="178"/>
        <v>42.084000000000003</v>
      </c>
      <c r="H272" s="178" t="s">
        <v>11</v>
      </c>
      <c r="I272" s="110">
        <v>0.04</v>
      </c>
      <c r="J272" s="80">
        <f t="shared" ref="J270:J274" si="183">I272*G272</f>
        <v>1.6833600000000002</v>
      </c>
      <c r="K272" s="106">
        <v>47.5</v>
      </c>
      <c r="L272" s="106">
        <f t="shared" ref="L270:L274" si="184">K272*J272</f>
        <v>79.959600000000009</v>
      </c>
      <c r="M272" s="106">
        <v>1.85</v>
      </c>
      <c r="N272" s="106">
        <f t="shared" ref="N270:N274" si="185">M272*G272</f>
        <v>77.855400000000003</v>
      </c>
      <c r="O272" s="106">
        <f t="shared" ref="O270:O274" si="186">L272+N272</f>
        <v>157.815</v>
      </c>
      <c r="P272" s="108"/>
    </row>
    <row r="273" spans="1:16" s="177" customFormat="1" x14ac:dyDescent="0.25">
      <c r="A273" s="109">
        <f>IF(G273&lt;&gt;"",1+MAX($A$13:A272),"")</f>
        <v>161</v>
      </c>
      <c r="B273" s="178" t="s">
        <v>381</v>
      </c>
      <c r="C273" s="178" t="s">
        <v>50</v>
      </c>
      <c r="D273" s="113" t="s">
        <v>339</v>
      </c>
      <c r="E273" s="112">
        <f>E269*9.83</f>
        <v>131.3288</v>
      </c>
      <c r="F273" s="107">
        <f>VLOOKUP(H273,'PROJECT SUMMARY'!$C$26:$D$32,2,0)</f>
        <v>0.05</v>
      </c>
      <c r="G273" s="112">
        <f t="shared" si="178"/>
        <v>137.89524</v>
      </c>
      <c r="H273" s="178" t="s">
        <v>12</v>
      </c>
      <c r="I273" s="110">
        <v>1.4999999999999999E-2</v>
      </c>
      <c r="J273" s="80">
        <f t="shared" si="183"/>
        <v>2.0684285999999998</v>
      </c>
      <c r="K273" s="106">
        <v>47.5</v>
      </c>
      <c r="L273" s="106">
        <f t="shared" si="184"/>
        <v>98.25035849999999</v>
      </c>
      <c r="M273" s="106">
        <v>1.1000000000000001</v>
      </c>
      <c r="N273" s="106">
        <f t="shared" si="185"/>
        <v>151.684764</v>
      </c>
      <c r="O273" s="106">
        <f t="shared" si="186"/>
        <v>249.93512249999998</v>
      </c>
      <c r="P273" s="108"/>
    </row>
    <row r="274" spans="1:16" s="177" customFormat="1" x14ac:dyDescent="0.25">
      <c r="A274" s="109">
        <f>IF(G274&lt;&gt;"",1+MAX($A$13:A273),"")</f>
        <v>162</v>
      </c>
      <c r="B274" s="178" t="s">
        <v>381</v>
      </c>
      <c r="C274" s="178" t="s">
        <v>50</v>
      </c>
      <c r="D274" s="113" t="s">
        <v>70</v>
      </c>
      <c r="E274" s="112">
        <f>E269*2</f>
        <v>26.72</v>
      </c>
      <c r="F274" s="107">
        <f>VLOOKUP(H274,'PROJECT SUMMARY'!$C$26:$D$32,2,0)</f>
        <v>0.05</v>
      </c>
      <c r="G274" s="112">
        <f t="shared" si="178"/>
        <v>28.056000000000001</v>
      </c>
      <c r="H274" s="178" t="s">
        <v>11</v>
      </c>
      <c r="I274" s="110">
        <v>7.0000000000000001E-3</v>
      </c>
      <c r="J274" s="80">
        <f t="shared" si="183"/>
        <v>0.19639200000000001</v>
      </c>
      <c r="K274" s="106">
        <v>47.5</v>
      </c>
      <c r="L274" s="106">
        <f t="shared" si="184"/>
        <v>9.3286200000000008</v>
      </c>
      <c r="M274" s="106">
        <v>0.15</v>
      </c>
      <c r="N274" s="106">
        <f t="shared" si="185"/>
        <v>4.2084000000000001</v>
      </c>
      <c r="O274" s="106">
        <f t="shared" si="186"/>
        <v>13.537020000000002</v>
      </c>
      <c r="P274" s="108"/>
    </row>
    <row r="275" spans="1:16" s="177" customFormat="1" x14ac:dyDescent="0.25">
      <c r="A275" s="109" t="str">
        <f>IF(G275&lt;&gt;"",1+MAX($A$13:A274),"")</f>
        <v/>
      </c>
      <c r="B275" s="178"/>
      <c r="C275" s="178"/>
      <c r="E275" s="112"/>
      <c r="F275" s="107"/>
      <c r="G275" s="112"/>
      <c r="H275" s="178"/>
      <c r="J275" s="80"/>
      <c r="K275" s="106"/>
      <c r="L275" s="106"/>
      <c r="M275" s="106"/>
      <c r="N275" s="106"/>
      <c r="O275" s="106"/>
      <c r="P275" s="108"/>
    </row>
    <row r="276" spans="1:16" s="177" customFormat="1" x14ac:dyDescent="0.25">
      <c r="A276" s="109" t="str">
        <f>IF(G276&lt;&gt;"",1+MAX($A$13:A275),"")</f>
        <v/>
      </c>
      <c r="B276" s="178"/>
      <c r="C276" s="178"/>
      <c r="D276" s="58" t="s">
        <v>352</v>
      </c>
      <c r="E276" s="79">
        <v>21.41</v>
      </c>
      <c r="F276" s="107"/>
      <c r="G276" s="112"/>
      <c r="H276" s="178" t="s">
        <v>11</v>
      </c>
      <c r="J276" s="80"/>
      <c r="K276" s="106"/>
      <c r="L276" s="106"/>
      <c r="M276" s="106"/>
      <c r="N276" s="106"/>
      <c r="O276" s="106"/>
      <c r="P276" s="108"/>
    </row>
    <row r="277" spans="1:16" s="177" customFormat="1" x14ac:dyDescent="0.25">
      <c r="A277" s="109">
        <f>IF(G277&lt;&gt;"",1+MAX($A$13:A276),"")</f>
        <v>163</v>
      </c>
      <c r="B277" s="178" t="s">
        <v>381</v>
      </c>
      <c r="C277" s="178" t="s">
        <v>50</v>
      </c>
      <c r="D277" s="113" t="s">
        <v>336</v>
      </c>
      <c r="E277" s="112">
        <f>E276*10.5/32</f>
        <v>7.0251562500000002</v>
      </c>
      <c r="F277" s="107">
        <f>VLOOKUP(H277,'PROJECT SUMMARY'!$C$26:$D$32,2,0)</f>
        <v>0</v>
      </c>
      <c r="G277" s="112">
        <f t="shared" ref="G277:G281" si="187">E277*(1+F277)</f>
        <v>7.0251562500000002</v>
      </c>
      <c r="H277" s="178" t="s">
        <v>10</v>
      </c>
      <c r="I277" s="110">
        <v>0.35</v>
      </c>
      <c r="J277" s="80">
        <f t="shared" ref="J277" si="188">I277*G277</f>
        <v>2.4588046874999998</v>
      </c>
      <c r="K277" s="106">
        <v>47.5</v>
      </c>
      <c r="L277" s="106">
        <f t="shared" ref="L277" si="189">K277*J277</f>
        <v>116.79322265624999</v>
      </c>
      <c r="M277" s="106">
        <v>9.6</v>
      </c>
      <c r="N277" s="106">
        <f t="shared" ref="N277" si="190">M277*G277</f>
        <v>67.441500000000005</v>
      </c>
      <c r="O277" s="106">
        <f t="shared" ref="O277" si="191">L277+N277</f>
        <v>184.23472265625</v>
      </c>
      <c r="P277" s="108"/>
    </row>
    <row r="278" spans="1:16" s="177" customFormat="1" x14ac:dyDescent="0.25">
      <c r="A278" s="109">
        <f>IF(G278&lt;&gt;"",1+MAX($A$13:A277),"")</f>
        <v>164</v>
      </c>
      <c r="B278" s="178" t="s">
        <v>381</v>
      </c>
      <c r="C278" s="178" t="s">
        <v>50</v>
      </c>
      <c r="D278" s="113" t="s">
        <v>340</v>
      </c>
      <c r="E278" s="112">
        <f>E276/1.33</f>
        <v>16.097744360902254</v>
      </c>
      <c r="F278" s="107">
        <f>VLOOKUP(H278,'PROJECT SUMMARY'!$C$26:$D$32,2,0)</f>
        <v>0</v>
      </c>
      <c r="G278" s="112">
        <f t="shared" si="187"/>
        <v>16.097744360902254</v>
      </c>
      <c r="H278" s="178" t="s">
        <v>10</v>
      </c>
      <c r="I278" s="110">
        <v>0.48</v>
      </c>
      <c r="J278" s="80">
        <f t="shared" ref="J277:J281" si="192">I278*G278</f>
        <v>7.7269172932330816</v>
      </c>
      <c r="K278" s="106">
        <v>47.5</v>
      </c>
      <c r="L278" s="106">
        <f t="shared" ref="L277:L281" si="193">K278*J278</f>
        <v>367.02857142857135</v>
      </c>
      <c r="M278" s="106">
        <v>22.200000000000003</v>
      </c>
      <c r="N278" s="106">
        <f t="shared" ref="N277:N281" si="194">M278*G278</f>
        <v>357.36992481203009</v>
      </c>
      <c r="O278" s="106">
        <f t="shared" ref="O277:O281" si="195">L278+N278</f>
        <v>724.39849624060139</v>
      </c>
      <c r="P278" s="108"/>
    </row>
    <row r="279" spans="1:16" s="177" customFormat="1" x14ac:dyDescent="0.25">
      <c r="A279" s="109">
        <f>IF(G279&lt;&gt;"",1+MAX($A$13:A278),"")</f>
        <v>165</v>
      </c>
      <c r="B279" s="178" t="s">
        <v>381</v>
      </c>
      <c r="C279" s="178" t="s">
        <v>50</v>
      </c>
      <c r="D279" s="113" t="s">
        <v>338</v>
      </c>
      <c r="E279" s="112">
        <f>E276*3</f>
        <v>64.23</v>
      </c>
      <c r="F279" s="107">
        <f>VLOOKUP(H279,'PROJECT SUMMARY'!$C$26:$D$32,2,0)</f>
        <v>0.05</v>
      </c>
      <c r="G279" s="112">
        <f t="shared" si="187"/>
        <v>67.441500000000005</v>
      </c>
      <c r="H279" s="178" t="s">
        <v>11</v>
      </c>
      <c r="I279" s="110">
        <v>0.04</v>
      </c>
      <c r="J279" s="80">
        <f t="shared" si="192"/>
        <v>2.6976600000000004</v>
      </c>
      <c r="K279" s="106">
        <v>47.5</v>
      </c>
      <c r="L279" s="106">
        <f t="shared" si="193"/>
        <v>128.13885000000002</v>
      </c>
      <c r="M279" s="106">
        <v>1.85</v>
      </c>
      <c r="N279" s="106">
        <f t="shared" si="194"/>
        <v>124.76677500000001</v>
      </c>
      <c r="O279" s="106">
        <f t="shared" si="195"/>
        <v>252.90562500000004</v>
      </c>
      <c r="P279" s="108"/>
    </row>
    <row r="280" spans="1:16" s="177" customFormat="1" x14ac:dyDescent="0.25">
      <c r="A280" s="109">
        <f>IF(G280&lt;&gt;"",1+MAX($A$13:A279),"")</f>
        <v>166</v>
      </c>
      <c r="B280" s="178" t="s">
        <v>381</v>
      </c>
      <c r="C280" s="178" t="s">
        <v>50</v>
      </c>
      <c r="D280" s="113" t="s">
        <v>339</v>
      </c>
      <c r="E280" s="112">
        <f>E276*10.5</f>
        <v>224.80500000000001</v>
      </c>
      <c r="F280" s="107">
        <f>VLOOKUP(H280,'PROJECT SUMMARY'!$C$26:$D$32,2,0)</f>
        <v>0.05</v>
      </c>
      <c r="G280" s="112">
        <f t="shared" si="187"/>
        <v>236.04525000000001</v>
      </c>
      <c r="H280" s="178" t="s">
        <v>12</v>
      </c>
      <c r="I280" s="110">
        <v>1.4999999999999999E-2</v>
      </c>
      <c r="J280" s="80">
        <f t="shared" si="192"/>
        <v>3.5406787500000001</v>
      </c>
      <c r="K280" s="106">
        <v>47.5</v>
      </c>
      <c r="L280" s="106">
        <f t="shared" si="193"/>
        <v>168.18224062499999</v>
      </c>
      <c r="M280" s="106">
        <v>1.1000000000000001</v>
      </c>
      <c r="N280" s="106">
        <f t="shared" si="194"/>
        <v>259.64977500000003</v>
      </c>
      <c r="O280" s="106">
        <f t="shared" si="195"/>
        <v>427.83201562500005</v>
      </c>
      <c r="P280" s="108"/>
    </row>
    <row r="281" spans="1:16" s="177" customFormat="1" x14ac:dyDescent="0.25">
      <c r="A281" s="109">
        <f>IF(G281&lt;&gt;"",1+MAX($A$13:A280),"")</f>
        <v>167</v>
      </c>
      <c r="B281" s="178" t="s">
        <v>381</v>
      </c>
      <c r="C281" s="178" t="s">
        <v>50</v>
      </c>
      <c r="D281" s="113" t="s">
        <v>70</v>
      </c>
      <c r="E281" s="112">
        <f>E276*2</f>
        <v>42.82</v>
      </c>
      <c r="F281" s="107">
        <f>VLOOKUP(H281,'PROJECT SUMMARY'!$C$26:$D$32,2,0)</f>
        <v>0.05</v>
      </c>
      <c r="G281" s="112">
        <f t="shared" si="187"/>
        <v>44.961000000000006</v>
      </c>
      <c r="H281" s="178" t="s">
        <v>11</v>
      </c>
      <c r="I281" s="110">
        <v>7.0000000000000001E-3</v>
      </c>
      <c r="J281" s="80">
        <f t="shared" si="192"/>
        <v>0.31472700000000003</v>
      </c>
      <c r="K281" s="106">
        <v>47.5</v>
      </c>
      <c r="L281" s="106">
        <f t="shared" si="193"/>
        <v>14.949532500000002</v>
      </c>
      <c r="M281" s="106">
        <v>0.15</v>
      </c>
      <c r="N281" s="106">
        <f t="shared" si="194"/>
        <v>6.7441500000000003</v>
      </c>
      <c r="O281" s="106">
        <f t="shared" si="195"/>
        <v>21.693682500000001</v>
      </c>
      <c r="P281" s="108"/>
    </row>
    <row r="282" spans="1:16" s="177" customFormat="1" x14ac:dyDescent="0.25">
      <c r="A282" s="109" t="str">
        <f>IF(G282&lt;&gt;"",1+MAX($A$13:A281),"")</f>
        <v/>
      </c>
      <c r="B282" s="178"/>
      <c r="C282" s="178"/>
      <c r="E282" s="112"/>
      <c r="F282" s="107"/>
      <c r="G282" s="112"/>
      <c r="H282" s="178"/>
      <c r="J282" s="80"/>
      <c r="K282" s="106"/>
      <c r="L282" s="106"/>
      <c r="M282" s="106"/>
      <c r="N282" s="106"/>
      <c r="O282" s="106"/>
      <c r="P282" s="108"/>
    </row>
    <row r="283" spans="1:16" s="177" customFormat="1" x14ac:dyDescent="0.25">
      <c r="A283" s="109" t="str">
        <f>IF(G283&lt;&gt;"",1+MAX($A$13:A282),"")</f>
        <v/>
      </c>
      <c r="B283" s="178"/>
      <c r="C283" s="178"/>
      <c r="D283" s="58" t="s">
        <v>353</v>
      </c>
      <c r="E283" s="79">
        <v>193.14</v>
      </c>
      <c r="F283" s="107"/>
      <c r="G283" s="112"/>
      <c r="H283" s="178" t="s">
        <v>11</v>
      </c>
      <c r="J283" s="80"/>
      <c r="K283" s="106"/>
      <c r="L283" s="106"/>
      <c r="M283" s="106"/>
      <c r="N283" s="106"/>
      <c r="O283" s="106"/>
      <c r="P283" s="108"/>
    </row>
    <row r="284" spans="1:16" s="177" customFormat="1" x14ac:dyDescent="0.25">
      <c r="A284" s="109">
        <f>IF(G284&lt;&gt;"",1+MAX($A$13:A283),"")</f>
        <v>168</v>
      </c>
      <c r="B284" s="178" t="s">
        <v>381</v>
      </c>
      <c r="C284" s="178" t="s">
        <v>50</v>
      </c>
      <c r="D284" s="113" t="s">
        <v>336</v>
      </c>
      <c r="E284" s="112">
        <f>E283*10.167/32</f>
        <v>61.364199374999991</v>
      </c>
      <c r="F284" s="107">
        <f>VLOOKUP(H284,'PROJECT SUMMARY'!$C$26:$D$32,2,0)</f>
        <v>0</v>
      </c>
      <c r="G284" s="112">
        <f t="shared" ref="G284:G288" si="196">E284*(1+F284)</f>
        <v>61.364199374999991</v>
      </c>
      <c r="H284" s="178" t="s">
        <v>10</v>
      </c>
      <c r="I284" s="110">
        <v>0.35</v>
      </c>
      <c r="J284" s="80">
        <f t="shared" ref="J284" si="197">I284*G284</f>
        <v>21.477469781249997</v>
      </c>
      <c r="K284" s="106">
        <v>47.5</v>
      </c>
      <c r="L284" s="106">
        <f t="shared" ref="L284" si="198">K284*J284</f>
        <v>1020.1798146093748</v>
      </c>
      <c r="M284" s="106">
        <v>9.6</v>
      </c>
      <c r="N284" s="106">
        <f t="shared" ref="N284" si="199">M284*G284</f>
        <v>589.09631399999989</v>
      </c>
      <c r="O284" s="106">
        <f t="shared" ref="O284" si="200">L284+N284</f>
        <v>1609.2761286093746</v>
      </c>
      <c r="P284" s="108"/>
    </row>
    <row r="285" spans="1:16" s="177" customFormat="1" x14ac:dyDescent="0.25">
      <c r="A285" s="109">
        <f>IF(G285&lt;&gt;"",1+MAX($A$13:A284),"")</f>
        <v>169</v>
      </c>
      <c r="B285" s="178" t="s">
        <v>381</v>
      </c>
      <c r="C285" s="178" t="s">
        <v>50</v>
      </c>
      <c r="D285" s="113" t="s">
        <v>340</v>
      </c>
      <c r="E285" s="112">
        <f>E283/1.33</f>
        <v>145.21804511278194</v>
      </c>
      <c r="F285" s="107">
        <f>VLOOKUP(H285,'PROJECT SUMMARY'!$C$26:$D$32,2,0)</f>
        <v>0</v>
      </c>
      <c r="G285" s="112">
        <f t="shared" si="196"/>
        <v>145.21804511278194</v>
      </c>
      <c r="H285" s="178" t="s">
        <v>10</v>
      </c>
      <c r="I285" s="110">
        <v>0.48</v>
      </c>
      <c r="J285" s="80">
        <f t="shared" ref="J284:J288" si="201">I285*G285</f>
        <v>69.704661654135322</v>
      </c>
      <c r="K285" s="106">
        <v>47.5</v>
      </c>
      <c r="L285" s="106">
        <f t="shared" ref="L284:L288" si="202">K285*J285</f>
        <v>3310.9714285714276</v>
      </c>
      <c r="M285" s="106">
        <v>22.200000000000003</v>
      </c>
      <c r="N285" s="106">
        <f t="shared" ref="N284:N288" si="203">M285*G285</f>
        <v>3223.8406015037594</v>
      </c>
      <c r="O285" s="106">
        <f t="shared" ref="O284:O288" si="204">L285+N285</f>
        <v>6534.8120300751871</v>
      </c>
      <c r="P285" s="108"/>
    </row>
    <row r="286" spans="1:16" s="177" customFormat="1" x14ac:dyDescent="0.25">
      <c r="A286" s="109">
        <f>IF(G286&lt;&gt;"",1+MAX($A$13:A285),"")</f>
        <v>170</v>
      </c>
      <c r="B286" s="178" t="s">
        <v>381</v>
      </c>
      <c r="C286" s="178" t="s">
        <v>50</v>
      </c>
      <c r="D286" s="113" t="s">
        <v>338</v>
      </c>
      <c r="E286" s="112">
        <f>E283*3</f>
        <v>579.41999999999996</v>
      </c>
      <c r="F286" s="107">
        <f>VLOOKUP(H286,'PROJECT SUMMARY'!$C$26:$D$32,2,0)</f>
        <v>0.05</v>
      </c>
      <c r="G286" s="112">
        <f t="shared" si="196"/>
        <v>608.39099999999996</v>
      </c>
      <c r="H286" s="178" t="s">
        <v>11</v>
      </c>
      <c r="I286" s="110">
        <v>0.04</v>
      </c>
      <c r="J286" s="80">
        <f t="shared" si="201"/>
        <v>24.335639999999998</v>
      </c>
      <c r="K286" s="106">
        <v>47.5</v>
      </c>
      <c r="L286" s="106">
        <f t="shared" si="202"/>
        <v>1155.9429</v>
      </c>
      <c r="M286" s="106">
        <v>1.85</v>
      </c>
      <c r="N286" s="106">
        <f t="shared" si="203"/>
        <v>1125.5233499999999</v>
      </c>
      <c r="O286" s="106">
        <f t="shared" si="204"/>
        <v>2281.4662499999999</v>
      </c>
      <c r="P286" s="108"/>
    </row>
    <row r="287" spans="1:16" s="177" customFormat="1" x14ac:dyDescent="0.25">
      <c r="A287" s="109">
        <f>IF(G287&lt;&gt;"",1+MAX($A$13:A286),"")</f>
        <v>171</v>
      </c>
      <c r="B287" s="178" t="s">
        <v>381</v>
      </c>
      <c r="C287" s="178" t="s">
        <v>50</v>
      </c>
      <c r="D287" s="113" t="s">
        <v>339</v>
      </c>
      <c r="E287" s="112">
        <f>E283*10.167</f>
        <v>1963.6543799999997</v>
      </c>
      <c r="F287" s="107">
        <f>VLOOKUP(H287,'PROJECT SUMMARY'!$C$26:$D$32,2,0)</f>
        <v>0.05</v>
      </c>
      <c r="G287" s="112">
        <f t="shared" si="196"/>
        <v>2061.8370989999999</v>
      </c>
      <c r="H287" s="178" t="s">
        <v>12</v>
      </c>
      <c r="I287" s="110">
        <v>1.4999999999999999E-2</v>
      </c>
      <c r="J287" s="80">
        <f t="shared" si="201"/>
        <v>30.927556484999997</v>
      </c>
      <c r="K287" s="106">
        <v>47.5</v>
      </c>
      <c r="L287" s="106">
        <f t="shared" si="202"/>
        <v>1469.0589330374999</v>
      </c>
      <c r="M287" s="106">
        <v>1.1000000000000001</v>
      </c>
      <c r="N287" s="106">
        <f t="shared" si="203"/>
        <v>2268.0208089000002</v>
      </c>
      <c r="O287" s="106">
        <f t="shared" si="204"/>
        <v>3737.0797419375003</v>
      </c>
      <c r="P287" s="108"/>
    </row>
    <row r="288" spans="1:16" s="177" customFormat="1" x14ac:dyDescent="0.25">
      <c r="A288" s="109">
        <f>IF(G288&lt;&gt;"",1+MAX($A$13:A287),"")</f>
        <v>172</v>
      </c>
      <c r="B288" s="178" t="s">
        <v>381</v>
      </c>
      <c r="C288" s="178" t="s">
        <v>50</v>
      </c>
      <c r="D288" s="113" t="s">
        <v>70</v>
      </c>
      <c r="E288" s="112">
        <f>E283*2</f>
        <v>386.28</v>
      </c>
      <c r="F288" s="107">
        <f>VLOOKUP(H288,'PROJECT SUMMARY'!$C$26:$D$32,2,0)</f>
        <v>0.05</v>
      </c>
      <c r="G288" s="112">
        <f t="shared" si="196"/>
        <v>405.59399999999999</v>
      </c>
      <c r="H288" s="178" t="s">
        <v>11</v>
      </c>
      <c r="I288" s="110">
        <v>7.0000000000000001E-3</v>
      </c>
      <c r="J288" s="80">
        <f t="shared" si="201"/>
        <v>2.8391579999999998</v>
      </c>
      <c r="K288" s="106">
        <v>47.5</v>
      </c>
      <c r="L288" s="106">
        <f t="shared" si="202"/>
        <v>134.860005</v>
      </c>
      <c r="M288" s="106">
        <v>0.15</v>
      </c>
      <c r="N288" s="106">
        <f t="shared" si="203"/>
        <v>60.839099999999995</v>
      </c>
      <c r="O288" s="106">
        <f t="shared" si="204"/>
        <v>195.699105</v>
      </c>
      <c r="P288" s="108"/>
    </row>
    <row r="289" spans="1:16" s="177" customFormat="1" x14ac:dyDescent="0.25">
      <c r="A289" s="109" t="str">
        <f>IF(G289&lt;&gt;"",1+MAX($A$13:A288),"")</f>
        <v/>
      </c>
      <c r="B289" s="178"/>
      <c r="C289" s="178"/>
      <c r="E289" s="112"/>
      <c r="F289" s="107"/>
      <c r="G289" s="112"/>
      <c r="H289" s="178"/>
      <c r="J289" s="80"/>
      <c r="K289" s="106"/>
      <c r="L289" s="106"/>
      <c r="M289" s="106"/>
      <c r="N289" s="106"/>
      <c r="O289" s="106"/>
      <c r="P289" s="108"/>
    </row>
    <row r="290" spans="1:16" s="177" customFormat="1" x14ac:dyDescent="0.25">
      <c r="A290" s="109" t="str">
        <f>IF(G290&lt;&gt;"",1+MAX($A$13:A289),"")</f>
        <v/>
      </c>
      <c r="B290" s="178"/>
      <c r="C290" s="178"/>
      <c r="D290" s="58" t="s">
        <v>353</v>
      </c>
      <c r="E290" s="79">
        <v>5.96</v>
      </c>
      <c r="F290" s="107"/>
      <c r="G290" s="112"/>
      <c r="H290" s="178" t="s">
        <v>11</v>
      </c>
      <c r="J290" s="80"/>
      <c r="K290" s="106"/>
      <c r="L290" s="106"/>
      <c r="M290" s="106"/>
      <c r="N290" s="106"/>
      <c r="O290" s="106"/>
      <c r="P290" s="108"/>
    </row>
    <row r="291" spans="1:16" s="177" customFormat="1" x14ac:dyDescent="0.25">
      <c r="A291" s="109">
        <f>IF(G291&lt;&gt;"",1+MAX($A$13:A290),"")</f>
        <v>173</v>
      </c>
      <c r="B291" s="178" t="s">
        <v>381</v>
      </c>
      <c r="C291" s="178" t="s">
        <v>50</v>
      </c>
      <c r="D291" s="113" t="s">
        <v>346</v>
      </c>
      <c r="E291" s="112">
        <f>E290*10.167/32</f>
        <v>1.89360375</v>
      </c>
      <c r="F291" s="107">
        <f>VLOOKUP(H291,'PROJECT SUMMARY'!$C$26:$D$32,2,0)</f>
        <v>0</v>
      </c>
      <c r="G291" s="112">
        <f t="shared" ref="G291:G295" si="205">E291*(1+F291)</f>
        <v>1.89360375</v>
      </c>
      <c r="H291" s="178" t="s">
        <v>10</v>
      </c>
      <c r="I291" s="110">
        <v>0.35</v>
      </c>
      <c r="J291" s="80">
        <f t="shared" ref="J291:J292" si="206">I291*G291</f>
        <v>0.66276131249999992</v>
      </c>
      <c r="K291" s="106">
        <v>47.5</v>
      </c>
      <c r="L291" s="106">
        <f t="shared" ref="L291:L292" si="207">K291*J291</f>
        <v>31.481162343749997</v>
      </c>
      <c r="M291" s="106">
        <v>11</v>
      </c>
      <c r="N291" s="106">
        <f t="shared" ref="N291:N292" si="208">M291*G291</f>
        <v>20.829641250000002</v>
      </c>
      <c r="O291" s="106">
        <f t="shared" ref="O291:O292" si="209">L291+N291</f>
        <v>52.310803593749995</v>
      </c>
      <c r="P291" s="108"/>
    </row>
    <row r="292" spans="1:16" s="177" customFormat="1" x14ac:dyDescent="0.25">
      <c r="A292" s="109">
        <f>IF(G292&lt;&gt;"",1+MAX($A$13:A291),"")</f>
        <v>174</v>
      </c>
      <c r="B292" s="178" t="s">
        <v>381</v>
      </c>
      <c r="C292" s="178" t="s">
        <v>50</v>
      </c>
      <c r="D292" s="113" t="s">
        <v>340</v>
      </c>
      <c r="E292" s="112">
        <f>E290/1.33</f>
        <v>4.481203007518797</v>
      </c>
      <c r="F292" s="107">
        <f>VLOOKUP(H292,'PROJECT SUMMARY'!$C$26:$D$32,2,0)</f>
        <v>0</v>
      </c>
      <c r="G292" s="112">
        <f t="shared" si="205"/>
        <v>4.481203007518797</v>
      </c>
      <c r="H292" s="178" t="s">
        <v>10</v>
      </c>
      <c r="I292" s="110">
        <v>0.48</v>
      </c>
      <c r="J292" s="80">
        <f t="shared" si="206"/>
        <v>2.1509774436090225</v>
      </c>
      <c r="K292" s="106">
        <v>47.5</v>
      </c>
      <c r="L292" s="106">
        <f t="shared" si="207"/>
        <v>102.17142857142858</v>
      </c>
      <c r="M292" s="106">
        <v>22.200000000000003</v>
      </c>
      <c r="N292" s="106">
        <f t="shared" si="208"/>
        <v>99.482706766917303</v>
      </c>
      <c r="O292" s="106">
        <f t="shared" si="209"/>
        <v>201.6541353383459</v>
      </c>
      <c r="P292" s="108"/>
    </row>
    <row r="293" spans="1:16" s="177" customFormat="1" x14ac:dyDescent="0.25">
      <c r="A293" s="109">
        <f>IF(G293&lt;&gt;"",1+MAX($A$13:A292),"")</f>
        <v>175</v>
      </c>
      <c r="B293" s="178" t="s">
        <v>381</v>
      </c>
      <c r="C293" s="178" t="s">
        <v>50</v>
      </c>
      <c r="D293" s="113" t="s">
        <v>338</v>
      </c>
      <c r="E293" s="112">
        <f>E290*3</f>
        <v>17.88</v>
      </c>
      <c r="F293" s="107">
        <f>VLOOKUP(H293,'PROJECT SUMMARY'!$C$26:$D$32,2,0)</f>
        <v>0.05</v>
      </c>
      <c r="G293" s="112">
        <f t="shared" si="205"/>
        <v>18.774000000000001</v>
      </c>
      <c r="H293" s="178" t="s">
        <v>11</v>
      </c>
      <c r="I293" s="110">
        <v>0.04</v>
      </c>
      <c r="J293" s="80">
        <f t="shared" ref="J291:J295" si="210">I293*G293</f>
        <v>0.75096000000000007</v>
      </c>
      <c r="K293" s="106">
        <v>47.5</v>
      </c>
      <c r="L293" s="106">
        <f t="shared" ref="L291:L295" si="211">K293*J293</f>
        <v>35.6706</v>
      </c>
      <c r="M293" s="106">
        <v>1.85</v>
      </c>
      <c r="N293" s="106">
        <f t="shared" ref="N291:N295" si="212">M293*G293</f>
        <v>34.731900000000003</v>
      </c>
      <c r="O293" s="106">
        <f t="shared" ref="O291:O295" si="213">L293+N293</f>
        <v>70.402500000000003</v>
      </c>
      <c r="P293" s="108"/>
    </row>
    <row r="294" spans="1:16" s="177" customFormat="1" x14ac:dyDescent="0.25">
      <c r="A294" s="109">
        <f>IF(G294&lt;&gt;"",1+MAX($A$13:A293),"")</f>
        <v>176</v>
      </c>
      <c r="B294" s="178" t="s">
        <v>381</v>
      </c>
      <c r="C294" s="178" t="s">
        <v>50</v>
      </c>
      <c r="D294" s="113" t="s">
        <v>339</v>
      </c>
      <c r="E294" s="112">
        <f>E290*10.167</f>
        <v>60.595320000000001</v>
      </c>
      <c r="F294" s="107">
        <f>VLOOKUP(H294,'PROJECT SUMMARY'!$C$26:$D$32,2,0)</f>
        <v>0.05</v>
      </c>
      <c r="G294" s="112">
        <f t="shared" si="205"/>
        <v>63.625086000000003</v>
      </c>
      <c r="H294" s="178" t="s">
        <v>12</v>
      </c>
      <c r="I294" s="110">
        <v>1.4999999999999999E-2</v>
      </c>
      <c r="J294" s="80">
        <f t="shared" si="210"/>
        <v>0.95437629000000002</v>
      </c>
      <c r="K294" s="106">
        <v>47.5</v>
      </c>
      <c r="L294" s="106">
        <f t="shared" si="211"/>
        <v>45.332873775000003</v>
      </c>
      <c r="M294" s="106">
        <v>1.1000000000000001</v>
      </c>
      <c r="N294" s="106">
        <f t="shared" si="212"/>
        <v>69.987594600000008</v>
      </c>
      <c r="O294" s="106">
        <f t="shared" si="213"/>
        <v>115.32046837500002</v>
      </c>
      <c r="P294" s="108"/>
    </row>
    <row r="295" spans="1:16" s="177" customFormat="1" x14ac:dyDescent="0.25">
      <c r="A295" s="109">
        <f>IF(G295&lt;&gt;"",1+MAX($A$13:A294),"")</f>
        <v>177</v>
      </c>
      <c r="B295" s="178" t="s">
        <v>381</v>
      </c>
      <c r="C295" s="178" t="s">
        <v>50</v>
      </c>
      <c r="D295" s="113" t="s">
        <v>70</v>
      </c>
      <c r="E295" s="112">
        <f>E290*2</f>
        <v>11.92</v>
      </c>
      <c r="F295" s="107">
        <f>VLOOKUP(H295,'PROJECT SUMMARY'!$C$26:$D$32,2,0)</f>
        <v>0.05</v>
      </c>
      <c r="G295" s="112">
        <f t="shared" si="205"/>
        <v>12.516</v>
      </c>
      <c r="H295" s="178" t="s">
        <v>11</v>
      </c>
      <c r="I295" s="110">
        <v>7.0000000000000001E-3</v>
      </c>
      <c r="J295" s="80">
        <f t="shared" si="210"/>
        <v>8.7611999999999995E-2</v>
      </c>
      <c r="K295" s="106">
        <v>47.5</v>
      </c>
      <c r="L295" s="106">
        <f t="shared" si="211"/>
        <v>4.1615700000000002</v>
      </c>
      <c r="M295" s="106">
        <v>0.15</v>
      </c>
      <c r="N295" s="106">
        <f t="shared" si="212"/>
        <v>1.8774</v>
      </c>
      <c r="O295" s="106">
        <f t="shared" si="213"/>
        <v>6.0389699999999999</v>
      </c>
      <c r="P295" s="108"/>
    </row>
    <row r="296" spans="1:16" s="177" customFormat="1" x14ac:dyDescent="0.25">
      <c r="A296" s="109" t="str">
        <f>IF(G296&lt;&gt;"",1+MAX($A$13:A295),"")</f>
        <v/>
      </c>
      <c r="B296" s="178"/>
      <c r="C296" s="178"/>
      <c r="D296" s="113"/>
      <c r="E296" s="112"/>
      <c r="F296" s="107"/>
      <c r="G296" s="112"/>
      <c r="H296" s="178"/>
      <c r="I296" s="110"/>
      <c r="J296" s="80"/>
      <c r="K296" s="106"/>
      <c r="L296" s="106"/>
      <c r="M296" s="106"/>
      <c r="N296" s="106"/>
      <c r="O296" s="106"/>
      <c r="P296" s="108"/>
    </row>
    <row r="297" spans="1:16" s="177" customFormat="1" x14ac:dyDescent="0.25">
      <c r="A297" s="109" t="str">
        <f>IF(G297&lt;&gt;"",1+MAX($A$13:A296),"")</f>
        <v/>
      </c>
      <c r="B297" s="178"/>
      <c r="C297" s="178"/>
      <c r="D297" s="58" t="s">
        <v>361</v>
      </c>
      <c r="E297" s="79">
        <v>15.83</v>
      </c>
      <c r="F297" s="107"/>
      <c r="G297" s="112"/>
      <c r="H297" s="178" t="s">
        <v>11</v>
      </c>
      <c r="J297" s="80"/>
      <c r="K297" s="106"/>
      <c r="L297" s="106"/>
      <c r="M297" s="106"/>
      <c r="N297" s="106"/>
      <c r="O297" s="106"/>
      <c r="P297" s="108"/>
    </row>
    <row r="298" spans="1:16" s="177" customFormat="1" x14ac:dyDescent="0.25">
      <c r="A298" s="109">
        <f>IF(G298&lt;&gt;"",1+MAX($A$13:A297),"")</f>
        <v>178</v>
      </c>
      <c r="B298" s="178" t="s">
        <v>381</v>
      </c>
      <c r="C298" s="178" t="s">
        <v>50</v>
      </c>
      <c r="D298" s="113" t="s">
        <v>362</v>
      </c>
      <c r="E298" s="112">
        <f>E297*8.25*2/32</f>
        <v>8.1623437499999998</v>
      </c>
      <c r="F298" s="107">
        <f>VLOOKUP(H298,'PROJECT SUMMARY'!$C$26:$D$32,2,0)</f>
        <v>0</v>
      </c>
      <c r="G298" s="112">
        <f t="shared" ref="G298:G302" si="214">E298*(1+F298)</f>
        <v>8.1623437499999998</v>
      </c>
      <c r="H298" s="178" t="s">
        <v>10</v>
      </c>
      <c r="I298" s="110">
        <v>0.35</v>
      </c>
      <c r="J298" s="80">
        <f t="shared" ref="J298" si="215">I298*G298</f>
        <v>2.8568203124999996</v>
      </c>
      <c r="K298" s="106">
        <v>47.5</v>
      </c>
      <c r="L298" s="106">
        <f t="shared" ref="L298" si="216">K298*J298</f>
        <v>135.69896484374999</v>
      </c>
      <c r="M298" s="106">
        <v>9.6</v>
      </c>
      <c r="N298" s="106">
        <f t="shared" ref="N298" si="217">M298*G298</f>
        <v>78.358499999999992</v>
      </c>
      <c r="O298" s="106">
        <f t="shared" ref="O298" si="218">L298+N298</f>
        <v>214.05746484374998</v>
      </c>
      <c r="P298" s="108"/>
    </row>
    <row r="299" spans="1:16" s="177" customFormat="1" x14ac:dyDescent="0.25">
      <c r="A299" s="109">
        <f>IF(G299&lt;&gt;"",1+MAX($A$13:A298),"")</f>
        <v>179</v>
      </c>
      <c r="B299" s="178" t="s">
        <v>381</v>
      </c>
      <c r="C299" s="178" t="s">
        <v>50</v>
      </c>
      <c r="D299" s="113" t="s">
        <v>347</v>
      </c>
      <c r="E299" s="112">
        <f>E297/1.33</f>
        <v>11.902255639097744</v>
      </c>
      <c r="F299" s="107">
        <f>VLOOKUP(H299,'PROJECT SUMMARY'!$C$26:$D$32,2,0)</f>
        <v>0</v>
      </c>
      <c r="G299" s="112">
        <f t="shared" si="214"/>
        <v>11.902255639097744</v>
      </c>
      <c r="H299" s="178" t="s">
        <v>10</v>
      </c>
      <c r="I299" s="110">
        <v>0.35000000000000003</v>
      </c>
      <c r="J299" s="80">
        <f t="shared" ref="J298:J302" si="219">I299*G299</f>
        <v>4.1657894736842112</v>
      </c>
      <c r="K299" s="106">
        <v>47.5</v>
      </c>
      <c r="L299" s="106">
        <f t="shared" ref="L298:L302" si="220">K299*J299</f>
        <v>197.87500000000003</v>
      </c>
      <c r="M299" s="106">
        <v>15.5</v>
      </c>
      <c r="N299" s="106">
        <f t="shared" ref="N298:N302" si="221">M299*G299</f>
        <v>184.48496240601503</v>
      </c>
      <c r="O299" s="106">
        <f t="shared" ref="O298:O302" si="222">L299+N299</f>
        <v>382.35996240601503</v>
      </c>
      <c r="P299" s="108"/>
    </row>
    <row r="300" spans="1:16" s="177" customFormat="1" x14ac:dyDescent="0.25">
      <c r="A300" s="109">
        <f>IF(G300&lt;&gt;"",1+MAX($A$13:A299),"")</f>
        <v>180</v>
      </c>
      <c r="B300" s="178" t="s">
        <v>381</v>
      </c>
      <c r="C300" s="178" t="s">
        <v>50</v>
      </c>
      <c r="D300" s="113" t="s">
        <v>343</v>
      </c>
      <c r="E300" s="112">
        <f>E297*3</f>
        <v>47.49</v>
      </c>
      <c r="F300" s="107">
        <f>VLOOKUP(H300,'PROJECT SUMMARY'!$C$26:$D$32,2,0)</f>
        <v>0.05</v>
      </c>
      <c r="G300" s="112">
        <f t="shared" si="214"/>
        <v>49.864500000000007</v>
      </c>
      <c r="H300" s="178" t="s">
        <v>11</v>
      </c>
      <c r="I300" s="110">
        <v>3.5000000000000003E-2</v>
      </c>
      <c r="J300" s="80">
        <f t="shared" si="219"/>
        <v>1.7452575000000004</v>
      </c>
      <c r="K300" s="106">
        <v>47.5</v>
      </c>
      <c r="L300" s="106">
        <f t="shared" si="220"/>
        <v>82.899731250000016</v>
      </c>
      <c r="M300" s="106">
        <v>1.55</v>
      </c>
      <c r="N300" s="106">
        <f t="shared" si="221"/>
        <v>77.289975000000013</v>
      </c>
      <c r="O300" s="106">
        <f t="shared" si="222"/>
        <v>160.18970625000003</v>
      </c>
      <c r="P300" s="108"/>
    </row>
    <row r="301" spans="1:16" s="177" customFormat="1" x14ac:dyDescent="0.25">
      <c r="A301" s="109">
        <f>IF(G301&lt;&gt;"",1+MAX($A$13:A300),"")</f>
        <v>181</v>
      </c>
      <c r="B301" s="178" t="s">
        <v>381</v>
      </c>
      <c r="C301" s="178" t="s">
        <v>50</v>
      </c>
      <c r="D301" s="113" t="s">
        <v>344</v>
      </c>
      <c r="E301" s="112">
        <f>E297*8.25</f>
        <v>130.5975</v>
      </c>
      <c r="F301" s="107">
        <f>VLOOKUP(H301,'PROJECT SUMMARY'!$C$26:$D$32,2,0)</f>
        <v>0.05</v>
      </c>
      <c r="G301" s="112">
        <f>E301*(1+F301)</f>
        <v>137.127375</v>
      </c>
      <c r="H301" s="178" t="s">
        <v>12</v>
      </c>
      <c r="I301" s="110">
        <v>1.4999999999999999E-2</v>
      </c>
      <c r="J301" s="80">
        <f t="shared" si="219"/>
        <v>2.056910625</v>
      </c>
      <c r="K301" s="106">
        <v>47.5</v>
      </c>
      <c r="L301" s="106">
        <f t="shared" si="220"/>
        <v>97.703254687500007</v>
      </c>
      <c r="M301" s="106">
        <v>0.9</v>
      </c>
      <c r="N301" s="106">
        <f t="shared" si="221"/>
        <v>123.4146375</v>
      </c>
      <c r="O301" s="106">
        <f t="shared" si="222"/>
        <v>221.11789218749999</v>
      </c>
      <c r="P301" s="108"/>
    </row>
    <row r="302" spans="1:16" s="177" customFormat="1" x14ac:dyDescent="0.25">
      <c r="A302" s="109">
        <f>IF(G302&lt;&gt;"",1+MAX($A$13:A301),"")</f>
        <v>182</v>
      </c>
      <c r="B302" s="178" t="s">
        <v>381</v>
      </c>
      <c r="C302" s="178" t="s">
        <v>50</v>
      </c>
      <c r="D302" s="113" t="s">
        <v>70</v>
      </c>
      <c r="E302" s="112">
        <f>E297*4</f>
        <v>63.32</v>
      </c>
      <c r="F302" s="107">
        <f>VLOOKUP(H302,'PROJECT SUMMARY'!$C$26:$D$32,2,0)</f>
        <v>0.05</v>
      </c>
      <c r="G302" s="112">
        <f t="shared" si="214"/>
        <v>66.486000000000004</v>
      </c>
      <c r="H302" s="178" t="s">
        <v>11</v>
      </c>
      <c r="I302" s="110">
        <v>7.0000000000000001E-3</v>
      </c>
      <c r="J302" s="80">
        <f t="shared" si="219"/>
        <v>0.46540200000000004</v>
      </c>
      <c r="K302" s="106">
        <v>47.5</v>
      </c>
      <c r="L302" s="106">
        <f t="shared" si="220"/>
        <v>22.106595000000002</v>
      </c>
      <c r="M302" s="106">
        <v>0.15</v>
      </c>
      <c r="N302" s="106">
        <f t="shared" si="221"/>
        <v>9.972900000000001</v>
      </c>
      <c r="O302" s="106">
        <f t="shared" si="222"/>
        <v>32.079495000000001</v>
      </c>
      <c r="P302" s="108"/>
    </row>
    <row r="303" spans="1:16" s="177" customFormat="1" x14ac:dyDescent="0.25">
      <c r="A303" s="109" t="str">
        <f>IF(G303&lt;&gt;"",1+MAX($A$13:A302),"")</f>
        <v/>
      </c>
      <c r="B303" s="178"/>
      <c r="C303" s="178"/>
      <c r="D303" s="113"/>
      <c r="E303" s="112"/>
      <c r="F303" s="107"/>
      <c r="G303" s="112"/>
      <c r="H303" s="178"/>
      <c r="I303" s="110"/>
      <c r="J303" s="80"/>
      <c r="K303" s="106"/>
      <c r="L303" s="106"/>
      <c r="M303" s="106"/>
      <c r="N303" s="106"/>
      <c r="O303" s="106"/>
      <c r="P303" s="108"/>
    </row>
    <row r="304" spans="1:16" s="177" customFormat="1" x14ac:dyDescent="0.25">
      <c r="A304" s="109" t="str">
        <f>IF(G304&lt;&gt;"",1+MAX($A$13:A303),"")</f>
        <v/>
      </c>
      <c r="B304" s="178"/>
      <c r="C304" s="178"/>
      <c r="D304" s="58" t="s">
        <v>345</v>
      </c>
      <c r="E304" s="79">
        <v>13.89</v>
      </c>
      <c r="F304" s="107"/>
      <c r="G304" s="112"/>
      <c r="H304" s="178" t="s">
        <v>11</v>
      </c>
      <c r="J304" s="80"/>
      <c r="K304" s="106"/>
      <c r="L304" s="106"/>
      <c r="M304" s="106"/>
      <c r="N304" s="106"/>
      <c r="O304" s="106"/>
      <c r="P304" s="108"/>
    </row>
    <row r="305" spans="1:16" s="177" customFormat="1" x14ac:dyDescent="0.25">
      <c r="A305" s="109">
        <f>IF(G305&lt;&gt;"",1+MAX($A$13:A304),"")</f>
        <v>183</v>
      </c>
      <c r="B305" s="178" t="s">
        <v>381</v>
      </c>
      <c r="C305" s="178" t="s">
        <v>50</v>
      </c>
      <c r="D305" s="113" t="s">
        <v>336</v>
      </c>
      <c r="E305" s="112">
        <f>E304*8.25/32</f>
        <v>3.581015625</v>
      </c>
      <c r="F305" s="107">
        <f>VLOOKUP(H305,'PROJECT SUMMARY'!$C$26:$D$32,2,0)</f>
        <v>0</v>
      </c>
      <c r="G305" s="112">
        <f t="shared" ref="G305:G310" si="223">E305*(1+F305)</f>
        <v>3.581015625</v>
      </c>
      <c r="H305" s="178" t="s">
        <v>10</v>
      </c>
      <c r="I305" s="110">
        <v>0.35</v>
      </c>
      <c r="J305" s="80">
        <f t="shared" ref="J305" si="224">I305*G305</f>
        <v>1.2533554687499999</v>
      </c>
      <c r="K305" s="106">
        <v>47.5</v>
      </c>
      <c r="L305" s="106">
        <f t="shared" ref="L305" si="225">K305*J305</f>
        <v>59.534384765624999</v>
      </c>
      <c r="M305" s="106">
        <v>9.6</v>
      </c>
      <c r="N305" s="106">
        <f t="shared" ref="N305" si="226">M305*G305</f>
        <v>34.377749999999999</v>
      </c>
      <c r="O305" s="106">
        <f t="shared" ref="O305" si="227">L305+N305</f>
        <v>93.912134765624998</v>
      </c>
      <c r="P305" s="108"/>
    </row>
    <row r="306" spans="1:16" s="177" customFormat="1" x14ac:dyDescent="0.25">
      <c r="A306" s="109">
        <f>IF(G306&lt;&gt;"",1+MAX($A$13:A305),"")</f>
        <v>184</v>
      </c>
      <c r="B306" s="178" t="s">
        <v>381</v>
      </c>
      <c r="C306" s="178" t="s">
        <v>50</v>
      </c>
      <c r="D306" s="113" t="s">
        <v>346</v>
      </c>
      <c r="E306" s="112">
        <f>E304*8.25/32</f>
        <v>3.581015625</v>
      </c>
      <c r="F306" s="107">
        <f>VLOOKUP(H306,'PROJECT SUMMARY'!$C$26:$D$32,2,0)</f>
        <v>0</v>
      </c>
      <c r="G306" s="112">
        <f t="shared" ref="G306" si="228">E306*(1+F306)</f>
        <v>3.581015625</v>
      </c>
      <c r="H306" s="178" t="s">
        <v>10</v>
      </c>
      <c r="I306" s="110">
        <v>0.35</v>
      </c>
      <c r="J306" s="80">
        <f t="shared" ref="J306:J310" si="229">I306*G306</f>
        <v>1.2533554687499999</v>
      </c>
      <c r="K306" s="106">
        <v>47.5</v>
      </c>
      <c r="L306" s="106">
        <f t="shared" ref="L306:L310" si="230">K306*J306</f>
        <v>59.534384765624999</v>
      </c>
      <c r="M306" s="106">
        <v>11</v>
      </c>
      <c r="N306" s="106">
        <f t="shared" ref="N306:N310" si="231">M306*G306</f>
        <v>39.391171874999998</v>
      </c>
      <c r="O306" s="106">
        <f t="shared" ref="O306:O310" si="232">L306+N306</f>
        <v>98.92555664062499</v>
      </c>
      <c r="P306" s="108"/>
    </row>
    <row r="307" spans="1:16" s="177" customFormat="1" x14ac:dyDescent="0.25">
      <c r="A307" s="109">
        <f>IF(G307&lt;&gt;"",1+MAX($A$13:A306),"")</f>
        <v>185</v>
      </c>
      <c r="B307" s="178" t="s">
        <v>381</v>
      </c>
      <c r="C307" s="178" t="s">
        <v>50</v>
      </c>
      <c r="D307" s="113" t="s">
        <v>347</v>
      </c>
      <c r="E307" s="112">
        <f>E304/1.33</f>
        <v>10.443609022556391</v>
      </c>
      <c r="F307" s="107">
        <f>VLOOKUP(H307,'PROJECT SUMMARY'!$C$26:$D$32,2,0)</f>
        <v>0</v>
      </c>
      <c r="G307" s="112">
        <f t="shared" si="223"/>
        <v>10.443609022556391</v>
      </c>
      <c r="H307" s="178" t="s">
        <v>10</v>
      </c>
      <c r="I307" s="110">
        <v>0.35000000000000003</v>
      </c>
      <c r="J307" s="80">
        <f t="shared" si="229"/>
        <v>3.655263157894737</v>
      </c>
      <c r="K307" s="106">
        <v>47.5</v>
      </c>
      <c r="L307" s="106">
        <f t="shared" si="230"/>
        <v>173.625</v>
      </c>
      <c r="M307" s="106">
        <v>15.5</v>
      </c>
      <c r="N307" s="106">
        <f t="shared" si="231"/>
        <v>161.87593984962405</v>
      </c>
      <c r="O307" s="106">
        <f t="shared" si="232"/>
        <v>335.50093984962405</v>
      </c>
      <c r="P307" s="108"/>
    </row>
    <row r="308" spans="1:16" s="177" customFormat="1" x14ac:dyDescent="0.25">
      <c r="A308" s="109">
        <f>IF(G308&lt;&gt;"",1+MAX($A$13:A307),"")</f>
        <v>186</v>
      </c>
      <c r="B308" s="178" t="s">
        <v>381</v>
      </c>
      <c r="C308" s="178" t="s">
        <v>50</v>
      </c>
      <c r="D308" s="113" t="s">
        <v>343</v>
      </c>
      <c r="E308" s="112">
        <f>E304*3</f>
        <v>41.67</v>
      </c>
      <c r="F308" s="107">
        <f>VLOOKUP(H308,'PROJECT SUMMARY'!$C$26:$D$32,2,0)</f>
        <v>0.05</v>
      </c>
      <c r="G308" s="112">
        <f t="shared" si="223"/>
        <v>43.753500000000003</v>
      </c>
      <c r="H308" s="178" t="s">
        <v>11</v>
      </c>
      <c r="I308" s="110">
        <v>3.5000000000000003E-2</v>
      </c>
      <c r="J308" s="80">
        <f t="shared" si="229"/>
        <v>1.5313725000000002</v>
      </c>
      <c r="K308" s="106">
        <v>47.5</v>
      </c>
      <c r="L308" s="106">
        <f t="shared" si="230"/>
        <v>72.740193750000017</v>
      </c>
      <c r="M308" s="106">
        <v>1.55</v>
      </c>
      <c r="N308" s="106">
        <f t="shared" si="231"/>
        <v>67.817925000000002</v>
      </c>
      <c r="O308" s="106">
        <f t="shared" si="232"/>
        <v>140.55811875000001</v>
      </c>
      <c r="P308" s="108"/>
    </row>
    <row r="309" spans="1:16" s="177" customFormat="1" x14ac:dyDescent="0.25">
      <c r="A309" s="109">
        <f>IF(G309&lt;&gt;"",1+MAX($A$13:A308),"")</f>
        <v>187</v>
      </c>
      <c r="B309" s="178" t="s">
        <v>381</v>
      </c>
      <c r="C309" s="178" t="s">
        <v>50</v>
      </c>
      <c r="D309" s="113" t="s">
        <v>344</v>
      </c>
      <c r="E309" s="112">
        <f>E304*8.25</f>
        <v>114.5925</v>
      </c>
      <c r="F309" s="107">
        <f>VLOOKUP(H309,'PROJECT SUMMARY'!$C$26:$D$32,2,0)</f>
        <v>0.05</v>
      </c>
      <c r="G309" s="112">
        <f>E309*(1+F309)</f>
        <v>120.322125</v>
      </c>
      <c r="H309" s="178" t="s">
        <v>12</v>
      </c>
      <c r="I309" s="110">
        <v>1.4999999999999999E-2</v>
      </c>
      <c r="J309" s="80">
        <f t="shared" si="229"/>
        <v>1.8048318749999999</v>
      </c>
      <c r="K309" s="106">
        <v>47.5</v>
      </c>
      <c r="L309" s="106">
        <f t="shared" si="230"/>
        <v>85.729514062499987</v>
      </c>
      <c r="M309" s="106">
        <v>0.9</v>
      </c>
      <c r="N309" s="106">
        <f t="shared" si="231"/>
        <v>108.2899125</v>
      </c>
      <c r="O309" s="106">
        <f t="shared" si="232"/>
        <v>194.01942656249997</v>
      </c>
      <c r="P309" s="108"/>
    </row>
    <row r="310" spans="1:16" s="177" customFormat="1" x14ac:dyDescent="0.25">
      <c r="A310" s="109">
        <f>IF(G310&lt;&gt;"",1+MAX($A$13:A309),"")</f>
        <v>188</v>
      </c>
      <c r="B310" s="178" t="s">
        <v>381</v>
      </c>
      <c r="C310" s="178" t="s">
        <v>50</v>
      </c>
      <c r="D310" s="113" t="s">
        <v>70</v>
      </c>
      <c r="E310" s="112">
        <f>E304*4</f>
        <v>55.56</v>
      </c>
      <c r="F310" s="107">
        <f>VLOOKUP(H310,'PROJECT SUMMARY'!$C$26:$D$32,2,0)</f>
        <v>0.05</v>
      </c>
      <c r="G310" s="112">
        <f t="shared" si="223"/>
        <v>58.338000000000008</v>
      </c>
      <c r="H310" s="178" t="s">
        <v>11</v>
      </c>
      <c r="I310" s="110">
        <v>7.0000000000000001E-3</v>
      </c>
      <c r="J310" s="80">
        <f t="shared" si="229"/>
        <v>0.40836600000000006</v>
      </c>
      <c r="K310" s="106">
        <v>47.5</v>
      </c>
      <c r="L310" s="106">
        <f t="shared" si="230"/>
        <v>19.397385000000003</v>
      </c>
      <c r="M310" s="106">
        <v>0.15</v>
      </c>
      <c r="N310" s="106">
        <f t="shared" si="231"/>
        <v>8.7507000000000001</v>
      </c>
      <c r="O310" s="106">
        <f t="shared" si="232"/>
        <v>28.148085000000002</v>
      </c>
      <c r="P310" s="108"/>
    </row>
    <row r="311" spans="1:16" s="177" customFormat="1" x14ac:dyDescent="0.25">
      <c r="A311" s="109" t="str">
        <f>IF(G311&lt;&gt;"",1+MAX($A$13:A310),"")</f>
        <v/>
      </c>
      <c r="B311" s="178"/>
      <c r="C311" s="178"/>
      <c r="D311" s="113"/>
      <c r="E311" s="112"/>
      <c r="F311" s="107"/>
      <c r="G311" s="112"/>
      <c r="H311" s="178"/>
      <c r="I311" s="110"/>
      <c r="J311" s="80"/>
      <c r="K311" s="106"/>
      <c r="L311" s="106"/>
      <c r="M311" s="106"/>
      <c r="N311" s="106"/>
      <c r="O311" s="106"/>
      <c r="P311" s="108"/>
    </row>
    <row r="312" spans="1:16" s="177" customFormat="1" x14ac:dyDescent="0.25">
      <c r="A312" s="109" t="str">
        <f>IF(G312&lt;&gt;"",1+MAX($A$13:A311),"")</f>
        <v/>
      </c>
      <c r="B312" s="178"/>
      <c r="C312" s="178"/>
      <c r="D312" s="58" t="s">
        <v>361</v>
      </c>
      <c r="E312" s="79">
        <v>8.1</v>
      </c>
      <c r="F312" s="107"/>
      <c r="G312" s="112"/>
      <c r="H312" s="178" t="s">
        <v>11</v>
      </c>
      <c r="J312" s="80"/>
      <c r="K312" s="106"/>
      <c r="L312" s="106"/>
      <c r="M312" s="106"/>
      <c r="N312" s="106"/>
      <c r="O312" s="106"/>
      <c r="P312" s="108"/>
    </row>
    <row r="313" spans="1:16" s="177" customFormat="1" x14ac:dyDescent="0.25">
      <c r="A313" s="109">
        <f>IF(G313&lt;&gt;"",1+MAX($A$13:A312),"")</f>
        <v>189</v>
      </c>
      <c r="B313" s="178" t="s">
        <v>381</v>
      </c>
      <c r="C313" s="178" t="s">
        <v>50</v>
      </c>
      <c r="D313" s="113" t="s">
        <v>363</v>
      </c>
      <c r="E313" s="112">
        <f>E312*8.25*2/32</f>
        <v>4.1765625000000002</v>
      </c>
      <c r="F313" s="107">
        <f>VLOOKUP(H313,'PROJECT SUMMARY'!$C$26:$D$32,2,0)</f>
        <v>0</v>
      </c>
      <c r="G313" s="112">
        <f t="shared" ref="G313:G317" si="233">E313*(1+F313)</f>
        <v>4.1765625000000002</v>
      </c>
      <c r="H313" s="178" t="s">
        <v>10</v>
      </c>
      <c r="I313" s="110">
        <v>0.35</v>
      </c>
      <c r="J313" s="80">
        <f t="shared" ref="J313:J314" si="234">I313*G313</f>
        <v>1.4617968749999999</v>
      </c>
      <c r="K313" s="106">
        <v>47.5</v>
      </c>
      <c r="L313" s="106">
        <f t="shared" ref="L313:L314" si="235">K313*J313</f>
        <v>69.435351562499989</v>
      </c>
      <c r="M313" s="106">
        <v>11</v>
      </c>
      <c r="N313" s="106">
        <f t="shared" ref="N313:N314" si="236">M313*G313</f>
        <v>45.942187500000003</v>
      </c>
      <c r="O313" s="106">
        <f t="shared" ref="O313:O314" si="237">L313+N313</f>
        <v>115.37753906249999</v>
      </c>
      <c r="P313" s="108"/>
    </row>
    <row r="314" spans="1:16" s="177" customFormat="1" x14ac:dyDescent="0.25">
      <c r="A314" s="109">
        <f>IF(G314&lt;&gt;"",1+MAX($A$13:A313),"")</f>
        <v>190</v>
      </c>
      <c r="B314" s="178" t="s">
        <v>381</v>
      </c>
      <c r="C314" s="178" t="s">
        <v>50</v>
      </c>
      <c r="D314" s="113" t="s">
        <v>347</v>
      </c>
      <c r="E314" s="112">
        <f>E312/1.33</f>
        <v>6.0902255639097742</v>
      </c>
      <c r="F314" s="107">
        <f>VLOOKUP(H314,'PROJECT SUMMARY'!$C$26:$D$32,2,0)</f>
        <v>0</v>
      </c>
      <c r="G314" s="112">
        <f t="shared" si="233"/>
        <v>6.0902255639097742</v>
      </c>
      <c r="H314" s="178" t="s">
        <v>10</v>
      </c>
      <c r="I314" s="110">
        <v>0.35000000000000003</v>
      </c>
      <c r="J314" s="80">
        <f t="shared" si="234"/>
        <v>2.1315789473684212</v>
      </c>
      <c r="K314" s="106">
        <v>47.5</v>
      </c>
      <c r="L314" s="106">
        <f t="shared" si="235"/>
        <v>101.25000000000001</v>
      </c>
      <c r="M314" s="106">
        <v>15.5</v>
      </c>
      <c r="N314" s="106">
        <f t="shared" si="236"/>
        <v>94.398496240601503</v>
      </c>
      <c r="O314" s="106">
        <f t="shared" si="237"/>
        <v>195.6484962406015</v>
      </c>
      <c r="P314" s="108"/>
    </row>
    <row r="315" spans="1:16" s="177" customFormat="1" x14ac:dyDescent="0.25">
      <c r="A315" s="109">
        <f>IF(G315&lt;&gt;"",1+MAX($A$13:A314),"")</f>
        <v>191</v>
      </c>
      <c r="B315" s="178" t="s">
        <v>381</v>
      </c>
      <c r="C315" s="178" t="s">
        <v>50</v>
      </c>
      <c r="D315" s="113" t="s">
        <v>343</v>
      </c>
      <c r="E315" s="112">
        <f>E312*3</f>
        <v>24.299999999999997</v>
      </c>
      <c r="F315" s="107">
        <f>VLOOKUP(H315,'PROJECT SUMMARY'!$C$26:$D$32,2,0)</f>
        <v>0.05</v>
      </c>
      <c r="G315" s="112">
        <f t="shared" si="233"/>
        <v>25.514999999999997</v>
      </c>
      <c r="H315" s="178" t="s">
        <v>11</v>
      </c>
      <c r="I315" s="110">
        <v>3.5000000000000003E-2</v>
      </c>
      <c r="J315" s="80">
        <f t="shared" ref="J313:J317" si="238">I315*G315</f>
        <v>0.89302499999999996</v>
      </c>
      <c r="K315" s="106">
        <v>47.5</v>
      </c>
      <c r="L315" s="106">
        <f t="shared" ref="L313:L317" si="239">K315*J315</f>
        <v>42.418687499999997</v>
      </c>
      <c r="M315" s="106">
        <v>1.55</v>
      </c>
      <c r="N315" s="106">
        <f t="shared" ref="N313:N317" si="240">M315*G315</f>
        <v>39.548249999999996</v>
      </c>
      <c r="O315" s="106">
        <f t="shared" ref="O313:O317" si="241">L315+N315</f>
        <v>81.9669375</v>
      </c>
      <c r="P315" s="108"/>
    </row>
    <row r="316" spans="1:16" s="177" customFormat="1" x14ac:dyDescent="0.25">
      <c r="A316" s="109">
        <f>IF(G316&lt;&gt;"",1+MAX($A$13:A315),"")</f>
        <v>192</v>
      </c>
      <c r="B316" s="178" t="s">
        <v>381</v>
      </c>
      <c r="C316" s="178" t="s">
        <v>50</v>
      </c>
      <c r="D316" s="113" t="s">
        <v>344</v>
      </c>
      <c r="E316" s="112">
        <f>E312*8.25</f>
        <v>66.825000000000003</v>
      </c>
      <c r="F316" s="107">
        <f>VLOOKUP(H316,'PROJECT SUMMARY'!$C$26:$D$32,2,0)</f>
        <v>0.05</v>
      </c>
      <c r="G316" s="112">
        <f>E316*(1+F316)</f>
        <v>70.166250000000005</v>
      </c>
      <c r="H316" s="178" t="s">
        <v>12</v>
      </c>
      <c r="I316" s="110">
        <v>1.4999999999999999E-2</v>
      </c>
      <c r="J316" s="80">
        <f t="shared" si="238"/>
        <v>1.05249375</v>
      </c>
      <c r="K316" s="106">
        <v>47.5</v>
      </c>
      <c r="L316" s="106">
        <f t="shared" si="239"/>
        <v>49.993453125000002</v>
      </c>
      <c r="M316" s="106">
        <v>0.9</v>
      </c>
      <c r="N316" s="106">
        <f t="shared" si="240"/>
        <v>63.149625000000007</v>
      </c>
      <c r="O316" s="106">
        <f t="shared" si="241"/>
        <v>113.14307812500002</v>
      </c>
      <c r="P316" s="108"/>
    </row>
    <row r="317" spans="1:16" s="177" customFormat="1" x14ac:dyDescent="0.25">
      <c r="A317" s="109">
        <f>IF(G317&lt;&gt;"",1+MAX($A$13:A316),"")</f>
        <v>193</v>
      </c>
      <c r="B317" s="178" t="s">
        <v>381</v>
      </c>
      <c r="C317" s="178" t="s">
        <v>50</v>
      </c>
      <c r="D317" s="113" t="s">
        <v>70</v>
      </c>
      <c r="E317" s="112">
        <f>E312*4</f>
        <v>32.4</v>
      </c>
      <c r="F317" s="107">
        <f>VLOOKUP(H317,'PROJECT SUMMARY'!$C$26:$D$32,2,0)</f>
        <v>0.05</v>
      </c>
      <c r="G317" s="112">
        <f t="shared" si="233"/>
        <v>34.020000000000003</v>
      </c>
      <c r="H317" s="178" t="s">
        <v>11</v>
      </c>
      <c r="I317" s="110">
        <v>7.0000000000000001E-3</v>
      </c>
      <c r="J317" s="80">
        <f t="shared" si="238"/>
        <v>0.23814000000000002</v>
      </c>
      <c r="K317" s="106">
        <v>47.5</v>
      </c>
      <c r="L317" s="106">
        <f t="shared" si="239"/>
        <v>11.31165</v>
      </c>
      <c r="M317" s="106">
        <v>0.15</v>
      </c>
      <c r="N317" s="106">
        <f t="shared" si="240"/>
        <v>5.1030000000000006</v>
      </c>
      <c r="O317" s="106">
        <f t="shared" si="241"/>
        <v>16.414650000000002</v>
      </c>
      <c r="P317" s="108"/>
    </row>
    <row r="318" spans="1:16" s="177" customFormat="1" x14ac:dyDescent="0.25">
      <c r="A318" s="109" t="str">
        <f>IF(G318&lt;&gt;"",1+MAX($A$13:A317),"")</f>
        <v/>
      </c>
      <c r="B318" s="178"/>
      <c r="C318" s="178"/>
      <c r="D318" s="113"/>
      <c r="E318" s="112"/>
      <c r="F318" s="107"/>
      <c r="G318" s="112"/>
      <c r="H318" s="178"/>
      <c r="I318" s="110"/>
      <c r="J318" s="80"/>
      <c r="K318" s="106"/>
      <c r="L318" s="106"/>
      <c r="M318" s="106"/>
      <c r="N318" s="106"/>
      <c r="O318" s="106"/>
      <c r="P318" s="108"/>
    </row>
    <row r="319" spans="1:16" s="177" customFormat="1" x14ac:dyDescent="0.25">
      <c r="A319" s="109" t="str">
        <f>IF(G319&lt;&gt;"",1+MAX($A$13:A318),"")</f>
        <v/>
      </c>
      <c r="B319" s="178"/>
      <c r="C319" s="178"/>
      <c r="D319" s="58" t="s">
        <v>364</v>
      </c>
      <c r="E319" s="79">
        <v>18.829999999999998</v>
      </c>
      <c r="F319" s="107"/>
      <c r="G319" s="112"/>
      <c r="H319" s="178" t="s">
        <v>11</v>
      </c>
      <c r="J319" s="80"/>
      <c r="K319" s="106"/>
      <c r="L319" s="106"/>
      <c r="M319" s="106"/>
      <c r="N319" s="106"/>
      <c r="O319" s="106"/>
      <c r="P319" s="108"/>
    </row>
    <row r="320" spans="1:16" s="177" customFormat="1" x14ac:dyDescent="0.25">
      <c r="A320" s="109">
        <f>IF(G320&lt;&gt;"",1+MAX($A$13:A319),"")</f>
        <v>194</v>
      </c>
      <c r="B320" s="178" t="s">
        <v>381</v>
      </c>
      <c r="C320" s="178" t="s">
        <v>50</v>
      </c>
      <c r="D320" s="113" t="s">
        <v>362</v>
      </c>
      <c r="E320" s="112">
        <f>E319*8.5*2/32</f>
        <v>10.003437499999999</v>
      </c>
      <c r="F320" s="107">
        <f>VLOOKUP(H320,'PROJECT SUMMARY'!$C$26:$D$32,2,0)</f>
        <v>0</v>
      </c>
      <c r="G320" s="112">
        <f t="shared" ref="G320:G324" si="242">E320*(1+F320)</f>
        <v>10.003437499999999</v>
      </c>
      <c r="H320" s="178" t="s">
        <v>10</v>
      </c>
      <c r="I320" s="110">
        <v>0.35</v>
      </c>
      <c r="J320" s="80">
        <f t="shared" ref="J320:J321" si="243">I320*G320</f>
        <v>3.5012031249999991</v>
      </c>
      <c r="K320" s="106">
        <v>47.5</v>
      </c>
      <c r="L320" s="106">
        <f t="shared" ref="L320:L321" si="244">K320*J320</f>
        <v>166.30714843749996</v>
      </c>
      <c r="M320" s="106">
        <v>9.6</v>
      </c>
      <c r="N320" s="106">
        <f t="shared" ref="N320:N321" si="245">M320*G320</f>
        <v>96.032999999999987</v>
      </c>
      <c r="O320" s="106">
        <f t="shared" ref="O320:O321" si="246">L320+N320</f>
        <v>262.34014843749992</v>
      </c>
      <c r="P320" s="108"/>
    </row>
    <row r="321" spans="1:16" s="177" customFormat="1" x14ac:dyDescent="0.25">
      <c r="A321" s="109">
        <f>IF(G321&lt;&gt;"",1+MAX($A$13:A320),"")</f>
        <v>195</v>
      </c>
      <c r="B321" s="178" t="s">
        <v>381</v>
      </c>
      <c r="C321" s="178" t="s">
        <v>50</v>
      </c>
      <c r="D321" s="113" t="s">
        <v>347</v>
      </c>
      <c r="E321" s="112">
        <f>E319/1.33</f>
        <v>14.157894736842103</v>
      </c>
      <c r="F321" s="107">
        <f>VLOOKUP(H321,'PROJECT SUMMARY'!$C$26:$D$32,2,0)</f>
        <v>0</v>
      </c>
      <c r="G321" s="112">
        <f t="shared" si="242"/>
        <v>14.157894736842103</v>
      </c>
      <c r="H321" s="178" t="s">
        <v>10</v>
      </c>
      <c r="I321" s="110">
        <v>0.35000000000000003</v>
      </c>
      <c r="J321" s="80">
        <f t="shared" si="243"/>
        <v>4.9552631578947368</v>
      </c>
      <c r="K321" s="106">
        <v>47.5</v>
      </c>
      <c r="L321" s="106">
        <f t="shared" si="244"/>
        <v>235.375</v>
      </c>
      <c r="M321" s="106">
        <v>15.5</v>
      </c>
      <c r="N321" s="106">
        <f t="shared" si="245"/>
        <v>219.4473684210526</v>
      </c>
      <c r="O321" s="106">
        <f t="shared" si="246"/>
        <v>454.8223684210526</v>
      </c>
      <c r="P321" s="108"/>
    </row>
    <row r="322" spans="1:16" s="177" customFormat="1" x14ac:dyDescent="0.25">
      <c r="A322" s="109">
        <f>IF(G322&lt;&gt;"",1+MAX($A$13:A321),"")</f>
        <v>196</v>
      </c>
      <c r="B322" s="178" t="s">
        <v>381</v>
      </c>
      <c r="C322" s="178" t="s">
        <v>50</v>
      </c>
      <c r="D322" s="113" t="s">
        <v>343</v>
      </c>
      <c r="E322" s="112">
        <f>E319*3</f>
        <v>56.489999999999995</v>
      </c>
      <c r="F322" s="107">
        <f>VLOOKUP(H322,'PROJECT SUMMARY'!$C$26:$D$32,2,0)</f>
        <v>0.05</v>
      </c>
      <c r="G322" s="112">
        <f t="shared" si="242"/>
        <v>59.314499999999995</v>
      </c>
      <c r="H322" s="178" t="s">
        <v>11</v>
      </c>
      <c r="I322" s="110">
        <v>3.5000000000000003E-2</v>
      </c>
      <c r="J322" s="80">
        <f t="shared" ref="J320:J324" si="247">I322*G322</f>
        <v>2.0760075000000002</v>
      </c>
      <c r="K322" s="106">
        <v>47.5</v>
      </c>
      <c r="L322" s="106">
        <f t="shared" ref="L320:L324" si="248">K322*J322</f>
        <v>98.610356250000009</v>
      </c>
      <c r="M322" s="106">
        <v>1.55</v>
      </c>
      <c r="N322" s="106">
        <f t="shared" ref="N320:N324" si="249">M322*G322</f>
        <v>91.937474999999992</v>
      </c>
      <c r="O322" s="106">
        <f t="shared" ref="O320:O324" si="250">L322+N322</f>
        <v>190.54783125</v>
      </c>
      <c r="P322" s="108"/>
    </row>
    <row r="323" spans="1:16" s="177" customFormat="1" x14ac:dyDescent="0.25">
      <c r="A323" s="109">
        <f>IF(G323&lt;&gt;"",1+MAX($A$13:A322),"")</f>
        <v>197</v>
      </c>
      <c r="B323" s="178" t="s">
        <v>381</v>
      </c>
      <c r="C323" s="178" t="s">
        <v>50</v>
      </c>
      <c r="D323" s="113" t="s">
        <v>344</v>
      </c>
      <c r="E323" s="112">
        <f>E319*8.5</f>
        <v>160.05499999999998</v>
      </c>
      <c r="F323" s="107">
        <f>VLOOKUP(H323,'PROJECT SUMMARY'!$C$26:$D$32,2,0)</f>
        <v>0.05</v>
      </c>
      <c r="G323" s="112">
        <f>E323*(1+F323)</f>
        <v>168.05775</v>
      </c>
      <c r="H323" s="178" t="s">
        <v>12</v>
      </c>
      <c r="I323" s="110">
        <v>1.4999999999999999E-2</v>
      </c>
      <c r="J323" s="80">
        <f t="shared" si="247"/>
        <v>2.5208662500000001</v>
      </c>
      <c r="K323" s="106">
        <v>47.5</v>
      </c>
      <c r="L323" s="106">
        <f t="shared" si="248"/>
        <v>119.741146875</v>
      </c>
      <c r="M323" s="106">
        <v>0.9</v>
      </c>
      <c r="N323" s="106">
        <f t="shared" si="249"/>
        <v>151.25197500000002</v>
      </c>
      <c r="O323" s="106">
        <f t="shared" si="250"/>
        <v>270.99312187500004</v>
      </c>
      <c r="P323" s="108"/>
    </row>
    <row r="324" spans="1:16" s="177" customFormat="1" x14ac:dyDescent="0.25">
      <c r="A324" s="109">
        <f>IF(G324&lt;&gt;"",1+MAX($A$13:A323),"")</f>
        <v>198</v>
      </c>
      <c r="B324" s="178" t="s">
        <v>381</v>
      </c>
      <c r="C324" s="178" t="s">
        <v>50</v>
      </c>
      <c r="D324" s="113" t="s">
        <v>70</v>
      </c>
      <c r="E324" s="112">
        <f>E319*4</f>
        <v>75.319999999999993</v>
      </c>
      <c r="F324" s="107">
        <f>VLOOKUP(H324,'PROJECT SUMMARY'!$C$26:$D$32,2,0)</f>
        <v>0.05</v>
      </c>
      <c r="G324" s="112">
        <f t="shared" si="242"/>
        <v>79.085999999999999</v>
      </c>
      <c r="H324" s="178" t="s">
        <v>11</v>
      </c>
      <c r="I324" s="110">
        <v>7.0000000000000001E-3</v>
      </c>
      <c r="J324" s="80">
        <f t="shared" si="247"/>
        <v>0.55360200000000004</v>
      </c>
      <c r="K324" s="106">
        <v>47.5</v>
      </c>
      <c r="L324" s="106">
        <f t="shared" si="248"/>
        <v>26.296095000000001</v>
      </c>
      <c r="M324" s="106">
        <v>0.15</v>
      </c>
      <c r="N324" s="106">
        <f t="shared" si="249"/>
        <v>11.8629</v>
      </c>
      <c r="O324" s="106">
        <f t="shared" si="250"/>
        <v>38.158995000000004</v>
      </c>
      <c r="P324" s="108"/>
    </row>
    <row r="325" spans="1:16" s="177" customFormat="1" x14ac:dyDescent="0.25">
      <c r="A325" s="109" t="str">
        <f>IF(G325&lt;&gt;"",1+MAX($A$13:A324),"")</f>
        <v/>
      </c>
      <c r="B325" s="178"/>
      <c r="C325" s="178"/>
      <c r="D325" s="113"/>
      <c r="E325" s="112"/>
      <c r="F325" s="107"/>
      <c r="G325" s="112"/>
      <c r="H325" s="178"/>
      <c r="I325" s="110"/>
      <c r="J325" s="80"/>
      <c r="K325" s="106"/>
      <c r="L325" s="106"/>
      <c r="M325" s="106"/>
      <c r="N325" s="106"/>
      <c r="O325" s="106"/>
      <c r="P325" s="108"/>
    </row>
    <row r="326" spans="1:16" s="177" customFormat="1" x14ac:dyDescent="0.25">
      <c r="A326" s="109" t="str">
        <f>IF(G326&lt;&gt;"",1+MAX($A$13:A325),"")</f>
        <v/>
      </c>
      <c r="B326" s="178"/>
      <c r="C326" s="178"/>
      <c r="D326" s="58" t="s">
        <v>365</v>
      </c>
      <c r="E326" s="79">
        <v>26.93</v>
      </c>
      <c r="F326" s="107"/>
      <c r="G326" s="112"/>
      <c r="H326" s="178" t="s">
        <v>11</v>
      </c>
      <c r="J326" s="80"/>
      <c r="K326" s="106"/>
      <c r="L326" s="106"/>
      <c r="M326" s="106"/>
      <c r="N326" s="106"/>
      <c r="O326" s="106"/>
      <c r="P326" s="108"/>
    </row>
    <row r="327" spans="1:16" s="177" customFormat="1" x14ac:dyDescent="0.25">
      <c r="A327" s="109">
        <f>IF(G327&lt;&gt;"",1+MAX($A$13:A326),"")</f>
        <v>199</v>
      </c>
      <c r="B327" s="178" t="s">
        <v>381</v>
      </c>
      <c r="C327" s="178" t="s">
        <v>50</v>
      </c>
      <c r="D327" s="113" t="s">
        <v>362</v>
      </c>
      <c r="E327" s="112">
        <f>E326*8.75*2/32</f>
        <v>14.727343749999999</v>
      </c>
      <c r="F327" s="107">
        <f>VLOOKUP(H327,'PROJECT SUMMARY'!$C$26:$D$32,2,0)</f>
        <v>0</v>
      </c>
      <c r="G327" s="112">
        <f t="shared" ref="G327:G331" si="251">E327*(1+F327)</f>
        <v>14.727343749999999</v>
      </c>
      <c r="H327" s="178" t="s">
        <v>10</v>
      </c>
      <c r="I327" s="110">
        <v>0.35</v>
      </c>
      <c r="J327" s="80">
        <f t="shared" ref="J327:J328" si="252">I327*G327</f>
        <v>5.1545703124999998</v>
      </c>
      <c r="K327" s="106">
        <v>47.5</v>
      </c>
      <c r="L327" s="106">
        <f t="shared" ref="L327:L328" si="253">K327*J327</f>
        <v>244.84208984374999</v>
      </c>
      <c r="M327" s="106">
        <v>9.6</v>
      </c>
      <c r="N327" s="106">
        <f t="shared" ref="N327:N328" si="254">M327*G327</f>
        <v>141.38249999999999</v>
      </c>
      <c r="O327" s="106">
        <f t="shared" ref="O327:O328" si="255">L327+N327</f>
        <v>386.22458984374998</v>
      </c>
      <c r="P327" s="108"/>
    </row>
    <row r="328" spans="1:16" s="177" customFormat="1" x14ac:dyDescent="0.25">
      <c r="A328" s="109">
        <f>IF(G328&lt;&gt;"",1+MAX($A$13:A327),"")</f>
        <v>200</v>
      </c>
      <c r="B328" s="178" t="s">
        <v>381</v>
      </c>
      <c r="C328" s="178" t="s">
        <v>50</v>
      </c>
      <c r="D328" s="113" t="s">
        <v>347</v>
      </c>
      <c r="E328" s="112">
        <f>E326/1.33</f>
        <v>20.248120300751879</v>
      </c>
      <c r="F328" s="107">
        <f>VLOOKUP(H328,'PROJECT SUMMARY'!$C$26:$D$32,2,0)</f>
        <v>0</v>
      </c>
      <c r="G328" s="112">
        <f t="shared" si="251"/>
        <v>20.248120300751879</v>
      </c>
      <c r="H328" s="178" t="s">
        <v>10</v>
      </c>
      <c r="I328" s="110">
        <v>0.35000000000000003</v>
      </c>
      <c r="J328" s="80">
        <f t="shared" si="252"/>
        <v>7.0868421052631581</v>
      </c>
      <c r="K328" s="106">
        <v>47.5</v>
      </c>
      <c r="L328" s="106">
        <f t="shared" si="253"/>
        <v>336.625</v>
      </c>
      <c r="M328" s="106">
        <v>15.5</v>
      </c>
      <c r="N328" s="106">
        <f t="shared" si="254"/>
        <v>313.8458646616541</v>
      </c>
      <c r="O328" s="106">
        <f t="shared" si="255"/>
        <v>650.4708646616541</v>
      </c>
      <c r="P328" s="108"/>
    </row>
    <row r="329" spans="1:16" s="177" customFormat="1" x14ac:dyDescent="0.25">
      <c r="A329" s="109">
        <f>IF(G329&lt;&gt;"",1+MAX($A$13:A328),"")</f>
        <v>201</v>
      </c>
      <c r="B329" s="178" t="s">
        <v>381</v>
      </c>
      <c r="C329" s="178" t="s">
        <v>50</v>
      </c>
      <c r="D329" s="113" t="s">
        <v>343</v>
      </c>
      <c r="E329" s="112">
        <f>E326*3</f>
        <v>80.789999999999992</v>
      </c>
      <c r="F329" s="107">
        <f>VLOOKUP(H329,'PROJECT SUMMARY'!$C$26:$D$32,2,0)</f>
        <v>0.05</v>
      </c>
      <c r="G329" s="112">
        <f t="shared" si="251"/>
        <v>84.829499999999996</v>
      </c>
      <c r="H329" s="178" t="s">
        <v>11</v>
      </c>
      <c r="I329" s="110">
        <v>3.5000000000000003E-2</v>
      </c>
      <c r="J329" s="80">
        <f t="shared" ref="J327:J331" si="256">I329*G329</f>
        <v>2.9690325</v>
      </c>
      <c r="K329" s="106">
        <v>47.5</v>
      </c>
      <c r="L329" s="106">
        <f t="shared" ref="L327:L331" si="257">K329*J329</f>
        <v>141.02904375</v>
      </c>
      <c r="M329" s="106">
        <v>1.55</v>
      </c>
      <c r="N329" s="106">
        <f t="shared" ref="N327:N331" si="258">M329*G329</f>
        <v>131.485725</v>
      </c>
      <c r="O329" s="106">
        <f t="shared" ref="O327:O331" si="259">L329+N329</f>
        <v>272.51476875000003</v>
      </c>
      <c r="P329" s="108"/>
    </row>
    <row r="330" spans="1:16" s="177" customFormat="1" x14ac:dyDescent="0.25">
      <c r="A330" s="109">
        <f>IF(G330&lt;&gt;"",1+MAX($A$13:A329),"")</f>
        <v>202</v>
      </c>
      <c r="B330" s="178" t="s">
        <v>381</v>
      </c>
      <c r="C330" s="178" t="s">
        <v>50</v>
      </c>
      <c r="D330" s="113" t="s">
        <v>344</v>
      </c>
      <c r="E330" s="112">
        <f>E326*8.75</f>
        <v>235.63749999999999</v>
      </c>
      <c r="F330" s="107">
        <f>VLOOKUP(H330,'PROJECT SUMMARY'!$C$26:$D$32,2,0)</f>
        <v>0.05</v>
      </c>
      <c r="G330" s="112">
        <f>E330*(1+F330)</f>
        <v>247.419375</v>
      </c>
      <c r="H330" s="178" t="s">
        <v>12</v>
      </c>
      <c r="I330" s="110">
        <v>1.4999999999999999E-2</v>
      </c>
      <c r="J330" s="80">
        <f t="shared" si="256"/>
        <v>3.7112906249999997</v>
      </c>
      <c r="K330" s="106">
        <v>47.5</v>
      </c>
      <c r="L330" s="106">
        <f t="shared" si="257"/>
        <v>176.28630468749998</v>
      </c>
      <c r="M330" s="106">
        <v>0.9</v>
      </c>
      <c r="N330" s="106">
        <f t="shared" si="258"/>
        <v>222.6774375</v>
      </c>
      <c r="O330" s="106">
        <f t="shared" si="259"/>
        <v>398.96374218749997</v>
      </c>
      <c r="P330" s="108"/>
    </row>
    <row r="331" spans="1:16" s="177" customFormat="1" x14ac:dyDescent="0.25">
      <c r="A331" s="109">
        <f>IF(G331&lt;&gt;"",1+MAX($A$13:A330),"")</f>
        <v>203</v>
      </c>
      <c r="B331" s="178" t="s">
        <v>381</v>
      </c>
      <c r="C331" s="178" t="s">
        <v>50</v>
      </c>
      <c r="D331" s="113" t="s">
        <v>70</v>
      </c>
      <c r="E331" s="112">
        <f>E326*4</f>
        <v>107.72</v>
      </c>
      <c r="F331" s="107">
        <f>VLOOKUP(H331,'PROJECT SUMMARY'!$C$26:$D$32,2,0)</f>
        <v>0.05</v>
      </c>
      <c r="G331" s="112">
        <f t="shared" si="251"/>
        <v>113.10600000000001</v>
      </c>
      <c r="H331" s="178" t="s">
        <v>11</v>
      </c>
      <c r="I331" s="110">
        <v>7.0000000000000001E-3</v>
      </c>
      <c r="J331" s="80">
        <f t="shared" si="256"/>
        <v>0.79174200000000006</v>
      </c>
      <c r="K331" s="106">
        <v>47.5</v>
      </c>
      <c r="L331" s="106">
        <f t="shared" si="257"/>
        <v>37.607745000000001</v>
      </c>
      <c r="M331" s="106">
        <v>0.15</v>
      </c>
      <c r="N331" s="106">
        <f t="shared" si="258"/>
        <v>16.965900000000001</v>
      </c>
      <c r="O331" s="106">
        <f t="shared" si="259"/>
        <v>54.573644999999999</v>
      </c>
      <c r="P331" s="108"/>
    </row>
    <row r="332" spans="1:16" s="177" customFormat="1" x14ac:dyDescent="0.25">
      <c r="A332" s="109" t="str">
        <f>IF(G332&lt;&gt;"",1+MAX($A$13:A331),"")</f>
        <v/>
      </c>
      <c r="B332" s="178"/>
      <c r="C332" s="178"/>
      <c r="D332" s="113"/>
      <c r="E332" s="112"/>
      <c r="F332" s="107"/>
      <c r="G332" s="112"/>
      <c r="H332" s="178"/>
      <c r="I332" s="110"/>
      <c r="J332" s="80"/>
      <c r="K332" s="106"/>
      <c r="L332" s="106"/>
      <c r="M332" s="106"/>
      <c r="N332" s="106"/>
      <c r="O332" s="106"/>
      <c r="P332" s="108"/>
    </row>
    <row r="333" spans="1:16" s="177" customFormat="1" x14ac:dyDescent="0.25">
      <c r="A333" s="109" t="str">
        <f>IF(G333&lt;&gt;"",1+MAX($A$13:A332),"")</f>
        <v/>
      </c>
      <c r="B333" s="178"/>
      <c r="C333" s="178"/>
      <c r="D333" s="58" t="s">
        <v>366</v>
      </c>
      <c r="E333" s="79">
        <v>115.46</v>
      </c>
      <c r="F333" s="107"/>
      <c r="G333" s="112"/>
      <c r="H333" s="178" t="s">
        <v>11</v>
      </c>
      <c r="J333" s="80"/>
      <c r="K333" s="106"/>
      <c r="L333" s="106"/>
      <c r="M333" s="106"/>
      <c r="N333" s="106"/>
      <c r="O333" s="106"/>
      <c r="P333" s="108"/>
    </row>
    <row r="334" spans="1:16" s="177" customFormat="1" x14ac:dyDescent="0.25">
      <c r="A334" s="109">
        <f>IF(G334&lt;&gt;"",1+MAX($A$13:A333),"")</f>
        <v>204</v>
      </c>
      <c r="B334" s="178" t="s">
        <v>381</v>
      </c>
      <c r="C334" s="178" t="s">
        <v>50</v>
      </c>
      <c r="D334" s="113" t="s">
        <v>362</v>
      </c>
      <c r="E334" s="112">
        <f>E333*9.83*2/32</f>
        <v>70.935737500000002</v>
      </c>
      <c r="F334" s="107">
        <f>VLOOKUP(H334,'PROJECT SUMMARY'!$C$26:$D$32,2,0)</f>
        <v>0</v>
      </c>
      <c r="G334" s="112">
        <f t="shared" ref="G334:G338" si="260">E334*(1+F334)</f>
        <v>70.935737500000002</v>
      </c>
      <c r="H334" s="178" t="s">
        <v>10</v>
      </c>
      <c r="I334" s="110">
        <v>0.35</v>
      </c>
      <c r="J334" s="80">
        <f t="shared" ref="J334:J335" si="261">I334*G334</f>
        <v>24.827508124999998</v>
      </c>
      <c r="K334" s="106">
        <v>47.5</v>
      </c>
      <c r="L334" s="106">
        <f t="shared" ref="L334:L335" si="262">K334*J334</f>
        <v>1179.3066359375</v>
      </c>
      <c r="M334" s="106">
        <v>9.6</v>
      </c>
      <c r="N334" s="106">
        <f t="shared" ref="N334:N335" si="263">M334*G334</f>
        <v>680.98307999999997</v>
      </c>
      <c r="O334" s="106">
        <f t="shared" ref="O334:O335" si="264">L334+N334</f>
        <v>1860.2897159375</v>
      </c>
      <c r="P334" s="108"/>
    </row>
    <row r="335" spans="1:16" s="177" customFormat="1" x14ac:dyDescent="0.25">
      <c r="A335" s="109">
        <f>IF(G335&lt;&gt;"",1+MAX($A$13:A334),"")</f>
        <v>205</v>
      </c>
      <c r="B335" s="178" t="s">
        <v>381</v>
      </c>
      <c r="C335" s="178" t="s">
        <v>50</v>
      </c>
      <c r="D335" s="113" t="s">
        <v>347</v>
      </c>
      <c r="E335" s="112">
        <f>E333/1.33</f>
        <v>86.812030075187963</v>
      </c>
      <c r="F335" s="107">
        <f>VLOOKUP(H335,'PROJECT SUMMARY'!$C$26:$D$32,2,0)</f>
        <v>0</v>
      </c>
      <c r="G335" s="112">
        <f t="shared" si="260"/>
        <v>86.812030075187963</v>
      </c>
      <c r="H335" s="178" t="s">
        <v>10</v>
      </c>
      <c r="I335" s="110">
        <v>0.35000000000000003</v>
      </c>
      <c r="J335" s="80">
        <f t="shared" si="261"/>
        <v>30.38421052631579</v>
      </c>
      <c r="K335" s="106">
        <v>47.5</v>
      </c>
      <c r="L335" s="106">
        <f t="shared" si="262"/>
        <v>1443.25</v>
      </c>
      <c r="M335" s="106">
        <v>15.5</v>
      </c>
      <c r="N335" s="106">
        <f t="shared" si="263"/>
        <v>1345.5864661654134</v>
      </c>
      <c r="O335" s="106">
        <f t="shared" si="264"/>
        <v>2788.8364661654132</v>
      </c>
      <c r="P335" s="108"/>
    </row>
    <row r="336" spans="1:16" s="177" customFormat="1" x14ac:dyDescent="0.25">
      <c r="A336" s="109">
        <f>IF(G336&lt;&gt;"",1+MAX($A$13:A335),"")</f>
        <v>206</v>
      </c>
      <c r="B336" s="178" t="s">
        <v>381</v>
      </c>
      <c r="C336" s="178" t="s">
        <v>50</v>
      </c>
      <c r="D336" s="113" t="s">
        <v>343</v>
      </c>
      <c r="E336" s="112">
        <f>E333*3</f>
        <v>346.38</v>
      </c>
      <c r="F336" s="107">
        <f>VLOOKUP(H336,'PROJECT SUMMARY'!$C$26:$D$32,2,0)</f>
        <v>0.05</v>
      </c>
      <c r="G336" s="112">
        <f t="shared" si="260"/>
        <v>363.69900000000001</v>
      </c>
      <c r="H336" s="178" t="s">
        <v>11</v>
      </c>
      <c r="I336" s="110">
        <v>3.5000000000000003E-2</v>
      </c>
      <c r="J336" s="80">
        <f t="shared" ref="J334:J338" si="265">I336*G336</f>
        <v>12.729465000000001</v>
      </c>
      <c r="K336" s="106">
        <v>47.5</v>
      </c>
      <c r="L336" s="106">
        <f t="shared" ref="L334:L338" si="266">K336*J336</f>
        <v>604.64958750000005</v>
      </c>
      <c r="M336" s="106">
        <v>1.55</v>
      </c>
      <c r="N336" s="106">
        <f t="shared" ref="N334:N338" si="267">M336*G336</f>
        <v>563.73345000000006</v>
      </c>
      <c r="O336" s="106">
        <f t="shared" ref="O334:O338" si="268">L336+N336</f>
        <v>1168.3830375000002</v>
      </c>
      <c r="P336" s="108"/>
    </row>
    <row r="337" spans="1:16" s="177" customFormat="1" x14ac:dyDescent="0.25">
      <c r="A337" s="109">
        <f>IF(G337&lt;&gt;"",1+MAX($A$13:A336),"")</f>
        <v>207</v>
      </c>
      <c r="B337" s="178" t="s">
        <v>381</v>
      </c>
      <c r="C337" s="178" t="s">
        <v>50</v>
      </c>
      <c r="D337" s="113" t="s">
        <v>344</v>
      </c>
      <c r="E337" s="112">
        <f>E333*9.83</f>
        <v>1134.9718</v>
      </c>
      <c r="F337" s="107">
        <f>VLOOKUP(H337,'PROJECT SUMMARY'!$C$26:$D$32,2,0)</f>
        <v>0.05</v>
      </c>
      <c r="G337" s="112">
        <f>E337*(1+F337)</f>
        <v>1191.7203900000002</v>
      </c>
      <c r="H337" s="178" t="s">
        <v>12</v>
      </c>
      <c r="I337" s="110">
        <v>1.4999999999999999E-2</v>
      </c>
      <c r="J337" s="80">
        <f t="shared" si="265"/>
        <v>17.875805850000003</v>
      </c>
      <c r="K337" s="106">
        <v>47.5</v>
      </c>
      <c r="L337" s="106">
        <f t="shared" si="266"/>
        <v>849.10077787500018</v>
      </c>
      <c r="M337" s="106">
        <v>0.9</v>
      </c>
      <c r="N337" s="106">
        <f t="shared" si="267"/>
        <v>1072.5483510000001</v>
      </c>
      <c r="O337" s="106">
        <f t="shared" si="268"/>
        <v>1921.6491288750003</v>
      </c>
      <c r="P337" s="108"/>
    </row>
    <row r="338" spans="1:16" s="177" customFormat="1" x14ac:dyDescent="0.25">
      <c r="A338" s="109">
        <f>IF(G338&lt;&gt;"",1+MAX($A$13:A337),"")</f>
        <v>208</v>
      </c>
      <c r="B338" s="178" t="s">
        <v>381</v>
      </c>
      <c r="C338" s="178" t="s">
        <v>50</v>
      </c>
      <c r="D338" s="113" t="s">
        <v>70</v>
      </c>
      <c r="E338" s="112">
        <f>E333*4</f>
        <v>461.84</v>
      </c>
      <c r="F338" s="107">
        <f>VLOOKUP(H338,'PROJECT SUMMARY'!$C$26:$D$32,2,0)</f>
        <v>0.05</v>
      </c>
      <c r="G338" s="112">
        <f t="shared" si="260"/>
        <v>484.93200000000002</v>
      </c>
      <c r="H338" s="178" t="s">
        <v>11</v>
      </c>
      <c r="I338" s="110">
        <v>7.0000000000000001E-3</v>
      </c>
      <c r="J338" s="80">
        <f t="shared" si="265"/>
        <v>3.3945240000000001</v>
      </c>
      <c r="K338" s="106">
        <v>47.5</v>
      </c>
      <c r="L338" s="106">
        <f t="shared" si="266"/>
        <v>161.23989</v>
      </c>
      <c r="M338" s="106">
        <v>0.15</v>
      </c>
      <c r="N338" s="106">
        <f t="shared" si="267"/>
        <v>72.739800000000002</v>
      </c>
      <c r="O338" s="106">
        <f t="shared" si="268"/>
        <v>233.97969000000001</v>
      </c>
      <c r="P338" s="108"/>
    </row>
    <row r="339" spans="1:16" s="177" customFormat="1" x14ac:dyDescent="0.25">
      <c r="A339" s="109" t="str">
        <f>IF(G339&lt;&gt;"",1+MAX($A$13:A338),"")</f>
        <v/>
      </c>
      <c r="B339" s="178"/>
      <c r="C339" s="178"/>
      <c r="D339" s="113"/>
      <c r="E339" s="112"/>
      <c r="F339" s="107"/>
      <c r="G339" s="112"/>
      <c r="H339" s="178"/>
      <c r="I339" s="110"/>
      <c r="J339" s="80"/>
      <c r="K339" s="106"/>
      <c r="L339" s="106"/>
      <c r="M339" s="106"/>
      <c r="N339" s="106"/>
      <c r="O339" s="106"/>
      <c r="P339" s="108"/>
    </row>
    <row r="340" spans="1:16" s="177" customFormat="1" x14ac:dyDescent="0.25">
      <c r="A340" s="109" t="str">
        <f>IF(G340&lt;&gt;"",1+MAX($A$13:A339),"")</f>
        <v/>
      </c>
      <c r="B340" s="178"/>
      <c r="C340" s="178"/>
      <c r="D340" s="58" t="s">
        <v>366</v>
      </c>
      <c r="E340" s="79">
        <v>23.55</v>
      </c>
      <c r="F340" s="107"/>
      <c r="G340" s="112"/>
      <c r="H340" s="178" t="s">
        <v>11</v>
      </c>
      <c r="J340" s="80"/>
      <c r="K340" s="106"/>
      <c r="L340" s="106"/>
      <c r="M340" s="106"/>
      <c r="N340" s="106"/>
      <c r="O340" s="106"/>
      <c r="P340" s="108"/>
    </row>
    <row r="341" spans="1:16" s="177" customFormat="1" x14ac:dyDescent="0.25">
      <c r="A341" s="109">
        <f>IF(G341&lt;&gt;"",1+MAX($A$13:A340),"")</f>
        <v>209</v>
      </c>
      <c r="B341" s="178" t="s">
        <v>381</v>
      </c>
      <c r="C341" s="178" t="s">
        <v>50</v>
      </c>
      <c r="D341" s="113" t="s">
        <v>336</v>
      </c>
      <c r="E341" s="112">
        <f>E340*9.83/32</f>
        <v>7.2342656249999999</v>
      </c>
      <c r="F341" s="107">
        <f>VLOOKUP(H341,'PROJECT SUMMARY'!$C$26:$D$32,2,0)</f>
        <v>0</v>
      </c>
      <c r="G341" s="112">
        <f t="shared" ref="G341:G346" si="269">E341*(1+F341)</f>
        <v>7.2342656249999999</v>
      </c>
      <c r="H341" s="178" t="s">
        <v>10</v>
      </c>
      <c r="I341" s="110">
        <v>0.35</v>
      </c>
      <c r="J341" s="80">
        <f t="shared" ref="J341" si="270">I341*G341</f>
        <v>2.53199296875</v>
      </c>
      <c r="K341" s="106">
        <v>47.5</v>
      </c>
      <c r="L341" s="106">
        <f t="shared" ref="L341" si="271">K341*J341</f>
        <v>120.26966601562501</v>
      </c>
      <c r="M341" s="106">
        <v>9.6</v>
      </c>
      <c r="N341" s="106">
        <f t="shared" ref="N341" si="272">M341*G341</f>
        <v>69.448949999999996</v>
      </c>
      <c r="O341" s="106">
        <f t="shared" ref="O341" si="273">L341+N341</f>
        <v>189.718616015625</v>
      </c>
      <c r="P341" s="108"/>
    </row>
    <row r="342" spans="1:16" s="177" customFormat="1" x14ac:dyDescent="0.25">
      <c r="A342" s="109">
        <f>IF(G342&lt;&gt;"",1+MAX($A$13:A341),"")</f>
        <v>210</v>
      </c>
      <c r="B342" s="178" t="s">
        <v>381</v>
      </c>
      <c r="C342" s="178" t="s">
        <v>50</v>
      </c>
      <c r="D342" s="113" t="s">
        <v>346</v>
      </c>
      <c r="E342" s="112">
        <f>E340*9.83/32</f>
        <v>7.2342656249999999</v>
      </c>
      <c r="F342" s="107">
        <f>VLOOKUP(H342,'PROJECT SUMMARY'!$C$26:$D$32,2,0)</f>
        <v>0</v>
      </c>
      <c r="G342" s="112">
        <f t="shared" ref="G342" si="274">E342*(1+F342)</f>
        <v>7.2342656249999999</v>
      </c>
      <c r="H342" s="178" t="s">
        <v>10</v>
      </c>
      <c r="I342" s="110">
        <v>0.35</v>
      </c>
      <c r="J342" s="80">
        <f t="shared" ref="J341:J346" si="275">I342*G342</f>
        <v>2.53199296875</v>
      </c>
      <c r="K342" s="106">
        <v>47.5</v>
      </c>
      <c r="L342" s="106">
        <f t="shared" ref="L341:L346" si="276">K342*J342</f>
        <v>120.26966601562501</v>
      </c>
      <c r="M342" s="106">
        <v>11</v>
      </c>
      <c r="N342" s="106">
        <f t="shared" ref="N341:N346" si="277">M342*G342</f>
        <v>79.576921874999996</v>
      </c>
      <c r="O342" s="106">
        <f t="shared" ref="O341:O346" si="278">L342+N342</f>
        <v>199.84658789062502</v>
      </c>
      <c r="P342" s="108"/>
    </row>
    <row r="343" spans="1:16" s="177" customFormat="1" x14ac:dyDescent="0.25">
      <c r="A343" s="109">
        <f>IF(G343&lt;&gt;"",1+MAX($A$13:A342),"")</f>
        <v>211</v>
      </c>
      <c r="B343" s="178" t="s">
        <v>381</v>
      </c>
      <c r="C343" s="178" t="s">
        <v>50</v>
      </c>
      <c r="D343" s="113" t="s">
        <v>347</v>
      </c>
      <c r="E343" s="112">
        <f>E340/1.33</f>
        <v>17.706766917293233</v>
      </c>
      <c r="F343" s="107">
        <f>VLOOKUP(H343,'PROJECT SUMMARY'!$C$26:$D$32,2,0)</f>
        <v>0</v>
      </c>
      <c r="G343" s="112">
        <f t="shared" si="269"/>
        <v>17.706766917293233</v>
      </c>
      <c r="H343" s="178" t="s">
        <v>10</v>
      </c>
      <c r="I343" s="110">
        <v>0.35000000000000003</v>
      </c>
      <c r="J343" s="80">
        <f t="shared" si="275"/>
        <v>6.1973684210526319</v>
      </c>
      <c r="K343" s="106">
        <v>47.5</v>
      </c>
      <c r="L343" s="106">
        <f t="shared" si="276"/>
        <v>294.375</v>
      </c>
      <c r="M343" s="106">
        <v>15.5</v>
      </c>
      <c r="N343" s="106">
        <f t="shared" si="277"/>
        <v>274.45488721804514</v>
      </c>
      <c r="O343" s="106">
        <f t="shared" si="278"/>
        <v>568.82988721804509</v>
      </c>
      <c r="P343" s="108"/>
    </row>
    <row r="344" spans="1:16" s="177" customFormat="1" x14ac:dyDescent="0.25">
      <c r="A344" s="109">
        <f>IF(G344&lt;&gt;"",1+MAX($A$13:A343),"")</f>
        <v>212</v>
      </c>
      <c r="B344" s="178" t="s">
        <v>381</v>
      </c>
      <c r="C344" s="178" t="s">
        <v>50</v>
      </c>
      <c r="D344" s="113" t="s">
        <v>343</v>
      </c>
      <c r="E344" s="112">
        <f>E340*3</f>
        <v>70.650000000000006</v>
      </c>
      <c r="F344" s="107">
        <f>VLOOKUP(H344,'PROJECT SUMMARY'!$C$26:$D$32,2,0)</f>
        <v>0.05</v>
      </c>
      <c r="G344" s="112">
        <f t="shared" si="269"/>
        <v>74.182500000000005</v>
      </c>
      <c r="H344" s="178" t="s">
        <v>11</v>
      </c>
      <c r="I344" s="110">
        <v>3.5000000000000003E-2</v>
      </c>
      <c r="J344" s="80">
        <f t="shared" si="275"/>
        <v>2.5963875000000005</v>
      </c>
      <c r="K344" s="106">
        <v>47.5</v>
      </c>
      <c r="L344" s="106">
        <f t="shared" si="276"/>
        <v>123.32840625000003</v>
      </c>
      <c r="M344" s="106">
        <v>1.55</v>
      </c>
      <c r="N344" s="106">
        <f t="shared" si="277"/>
        <v>114.98287500000001</v>
      </c>
      <c r="O344" s="106">
        <f t="shared" si="278"/>
        <v>238.31128125000004</v>
      </c>
      <c r="P344" s="108"/>
    </row>
    <row r="345" spans="1:16" s="177" customFormat="1" x14ac:dyDescent="0.25">
      <c r="A345" s="109">
        <f>IF(G345&lt;&gt;"",1+MAX($A$13:A344),"")</f>
        <v>213</v>
      </c>
      <c r="B345" s="178" t="s">
        <v>381</v>
      </c>
      <c r="C345" s="178" t="s">
        <v>50</v>
      </c>
      <c r="D345" s="113" t="s">
        <v>344</v>
      </c>
      <c r="E345" s="112">
        <f>E340*9.83</f>
        <v>231.4965</v>
      </c>
      <c r="F345" s="107">
        <f>VLOOKUP(H345,'PROJECT SUMMARY'!$C$26:$D$32,2,0)</f>
        <v>0.05</v>
      </c>
      <c r="G345" s="112">
        <f>E345*(1+F345)</f>
        <v>243.071325</v>
      </c>
      <c r="H345" s="178" t="s">
        <v>12</v>
      </c>
      <c r="I345" s="110">
        <v>1.4999999999999999E-2</v>
      </c>
      <c r="J345" s="80">
        <f t="shared" si="275"/>
        <v>3.6460698749999998</v>
      </c>
      <c r="K345" s="106">
        <v>47.5</v>
      </c>
      <c r="L345" s="106">
        <f t="shared" si="276"/>
        <v>173.1883190625</v>
      </c>
      <c r="M345" s="106">
        <v>0.9</v>
      </c>
      <c r="N345" s="106">
        <f t="shared" si="277"/>
        <v>218.76419250000001</v>
      </c>
      <c r="O345" s="106">
        <f t="shared" si="278"/>
        <v>391.95251156250004</v>
      </c>
      <c r="P345" s="108"/>
    </row>
    <row r="346" spans="1:16" s="177" customFormat="1" x14ac:dyDescent="0.25">
      <c r="A346" s="109">
        <f>IF(G346&lt;&gt;"",1+MAX($A$13:A345),"")</f>
        <v>214</v>
      </c>
      <c r="B346" s="178" t="s">
        <v>381</v>
      </c>
      <c r="C346" s="178" t="s">
        <v>50</v>
      </c>
      <c r="D346" s="113" t="s">
        <v>70</v>
      </c>
      <c r="E346" s="112">
        <f>E340*4</f>
        <v>94.2</v>
      </c>
      <c r="F346" s="107">
        <f>VLOOKUP(H346,'PROJECT SUMMARY'!$C$26:$D$32,2,0)</f>
        <v>0.05</v>
      </c>
      <c r="G346" s="112">
        <f t="shared" si="269"/>
        <v>98.910000000000011</v>
      </c>
      <c r="H346" s="178" t="s">
        <v>11</v>
      </c>
      <c r="I346" s="110">
        <v>7.0000000000000001E-3</v>
      </c>
      <c r="J346" s="80">
        <f t="shared" si="275"/>
        <v>0.69237000000000004</v>
      </c>
      <c r="K346" s="106">
        <v>47.5</v>
      </c>
      <c r="L346" s="106">
        <f t="shared" si="276"/>
        <v>32.887575000000005</v>
      </c>
      <c r="M346" s="106">
        <v>0.15</v>
      </c>
      <c r="N346" s="106">
        <f t="shared" si="277"/>
        <v>14.836500000000001</v>
      </c>
      <c r="O346" s="106">
        <f t="shared" si="278"/>
        <v>47.724075000000006</v>
      </c>
      <c r="P346" s="108"/>
    </row>
    <row r="347" spans="1:16" s="177" customFormat="1" x14ac:dyDescent="0.25">
      <c r="A347" s="109" t="str">
        <f>IF(G347&lt;&gt;"",1+MAX($A$13:A346),"")</f>
        <v/>
      </c>
      <c r="B347" s="178"/>
      <c r="C347" s="178"/>
      <c r="D347" s="113"/>
      <c r="E347" s="112"/>
      <c r="F347" s="107"/>
      <c r="G347" s="112"/>
      <c r="H347" s="178"/>
      <c r="I347" s="110"/>
      <c r="J347" s="80"/>
      <c r="K347" s="106"/>
      <c r="L347" s="106"/>
      <c r="M347" s="106"/>
      <c r="N347" s="106"/>
      <c r="O347" s="106"/>
      <c r="P347" s="108"/>
    </row>
    <row r="348" spans="1:16" s="177" customFormat="1" x14ac:dyDescent="0.25">
      <c r="A348" s="109" t="str">
        <f>IF(G348&lt;&gt;"",1+MAX($A$13:A347),"")</f>
        <v/>
      </c>
      <c r="B348" s="178"/>
      <c r="C348" s="178"/>
      <c r="D348" s="58" t="s">
        <v>366</v>
      </c>
      <c r="E348" s="79">
        <v>2.78</v>
      </c>
      <c r="F348" s="107"/>
      <c r="G348" s="112"/>
      <c r="H348" s="178" t="s">
        <v>11</v>
      </c>
      <c r="J348" s="80"/>
      <c r="K348" s="106"/>
      <c r="L348" s="106"/>
      <c r="M348" s="106"/>
      <c r="N348" s="106"/>
      <c r="O348" s="106"/>
      <c r="P348" s="108"/>
    </row>
    <row r="349" spans="1:16" s="177" customFormat="1" x14ac:dyDescent="0.25">
      <c r="A349" s="109">
        <f>IF(G349&lt;&gt;"",1+MAX($A$13:A348),"")</f>
        <v>215</v>
      </c>
      <c r="B349" s="178" t="s">
        <v>381</v>
      </c>
      <c r="C349" s="178" t="s">
        <v>50</v>
      </c>
      <c r="D349" s="113" t="s">
        <v>363</v>
      </c>
      <c r="E349" s="112">
        <f>E348*8.83*2/32</f>
        <v>1.5342125</v>
      </c>
      <c r="F349" s="107">
        <f>VLOOKUP(H349,'PROJECT SUMMARY'!$C$26:$D$32,2,0)</f>
        <v>0</v>
      </c>
      <c r="G349" s="112">
        <f t="shared" ref="G349:G353" si="279">E349*(1+F349)</f>
        <v>1.5342125</v>
      </c>
      <c r="H349" s="178" t="s">
        <v>10</v>
      </c>
      <c r="I349" s="110">
        <v>0.35</v>
      </c>
      <c r="J349" s="80">
        <f t="shared" ref="J349:J350" si="280">I349*G349</f>
        <v>0.536974375</v>
      </c>
      <c r="K349" s="106">
        <v>47.5</v>
      </c>
      <c r="L349" s="106">
        <f t="shared" ref="L349:L350" si="281">K349*J349</f>
        <v>25.5062828125</v>
      </c>
      <c r="M349" s="106">
        <v>11</v>
      </c>
      <c r="N349" s="106">
        <f t="shared" ref="N349:N350" si="282">M349*G349</f>
        <v>16.876337499999998</v>
      </c>
      <c r="O349" s="106">
        <f t="shared" ref="O349:O350" si="283">L349+N349</f>
        <v>42.382620312499995</v>
      </c>
      <c r="P349" s="108"/>
    </row>
    <row r="350" spans="1:16" s="177" customFormat="1" x14ac:dyDescent="0.25">
      <c r="A350" s="109">
        <f>IF(G350&lt;&gt;"",1+MAX($A$13:A349),"")</f>
        <v>216</v>
      </c>
      <c r="B350" s="178" t="s">
        <v>381</v>
      </c>
      <c r="C350" s="178" t="s">
        <v>50</v>
      </c>
      <c r="D350" s="113" t="s">
        <v>347</v>
      </c>
      <c r="E350" s="112">
        <f>E348/1.33</f>
        <v>2.0902255639097742</v>
      </c>
      <c r="F350" s="107">
        <f>VLOOKUP(H350,'PROJECT SUMMARY'!$C$26:$D$32,2,0)</f>
        <v>0</v>
      </c>
      <c r="G350" s="112">
        <f t="shared" si="279"/>
        <v>2.0902255639097742</v>
      </c>
      <c r="H350" s="178" t="s">
        <v>10</v>
      </c>
      <c r="I350" s="110">
        <v>0.35000000000000003</v>
      </c>
      <c r="J350" s="80">
        <f t="shared" si="280"/>
        <v>0.731578947368421</v>
      </c>
      <c r="K350" s="106">
        <v>47.5</v>
      </c>
      <c r="L350" s="106">
        <f t="shared" si="281"/>
        <v>34.75</v>
      </c>
      <c r="M350" s="106">
        <v>15.5</v>
      </c>
      <c r="N350" s="106">
        <f t="shared" si="282"/>
        <v>32.398496240601503</v>
      </c>
      <c r="O350" s="106">
        <f t="shared" si="283"/>
        <v>67.148496240601503</v>
      </c>
      <c r="P350" s="108"/>
    </row>
    <row r="351" spans="1:16" s="177" customFormat="1" x14ac:dyDescent="0.25">
      <c r="A351" s="109">
        <f>IF(G351&lt;&gt;"",1+MAX($A$13:A350),"")</f>
        <v>217</v>
      </c>
      <c r="B351" s="178" t="s">
        <v>381</v>
      </c>
      <c r="C351" s="178" t="s">
        <v>50</v>
      </c>
      <c r="D351" s="113" t="s">
        <v>343</v>
      </c>
      <c r="E351" s="112">
        <f>E348*3</f>
        <v>8.34</v>
      </c>
      <c r="F351" s="107">
        <f>VLOOKUP(H351,'PROJECT SUMMARY'!$C$26:$D$32,2,0)</f>
        <v>0.05</v>
      </c>
      <c r="G351" s="112">
        <f t="shared" si="279"/>
        <v>8.7569999999999997</v>
      </c>
      <c r="H351" s="178" t="s">
        <v>11</v>
      </c>
      <c r="I351" s="110">
        <v>3.5000000000000003E-2</v>
      </c>
      <c r="J351" s="80">
        <f t="shared" ref="J349:J353" si="284">I351*G351</f>
        <v>0.30649500000000002</v>
      </c>
      <c r="K351" s="106">
        <v>47.5</v>
      </c>
      <c r="L351" s="106">
        <f t="shared" ref="L349:L353" si="285">K351*J351</f>
        <v>14.558512500000001</v>
      </c>
      <c r="M351" s="106">
        <v>1.55</v>
      </c>
      <c r="N351" s="106">
        <f t="shared" ref="N349:N353" si="286">M351*G351</f>
        <v>13.57335</v>
      </c>
      <c r="O351" s="106">
        <f t="shared" ref="O349:O353" si="287">L351+N351</f>
        <v>28.1318625</v>
      </c>
      <c r="P351" s="108"/>
    </row>
    <row r="352" spans="1:16" s="177" customFormat="1" x14ac:dyDescent="0.25">
      <c r="A352" s="109">
        <f>IF(G352&lt;&gt;"",1+MAX($A$13:A351),"")</f>
        <v>218</v>
      </c>
      <c r="B352" s="178" t="s">
        <v>381</v>
      </c>
      <c r="C352" s="178" t="s">
        <v>50</v>
      </c>
      <c r="D352" s="113" t="s">
        <v>344</v>
      </c>
      <c r="E352" s="112">
        <f>E348*8.83</f>
        <v>24.5474</v>
      </c>
      <c r="F352" s="107">
        <f>VLOOKUP(H352,'PROJECT SUMMARY'!$C$26:$D$32,2,0)</f>
        <v>0.05</v>
      </c>
      <c r="G352" s="112">
        <f>E352*(1+F352)</f>
        <v>25.77477</v>
      </c>
      <c r="H352" s="178" t="s">
        <v>12</v>
      </c>
      <c r="I352" s="110">
        <v>1.4999999999999999E-2</v>
      </c>
      <c r="J352" s="80">
        <f t="shared" si="284"/>
        <v>0.38662154999999998</v>
      </c>
      <c r="K352" s="106">
        <v>47.5</v>
      </c>
      <c r="L352" s="106">
        <f t="shared" si="285"/>
        <v>18.364523625</v>
      </c>
      <c r="M352" s="106">
        <v>0.9</v>
      </c>
      <c r="N352" s="106">
        <f t="shared" si="286"/>
        <v>23.197293000000002</v>
      </c>
      <c r="O352" s="106">
        <f t="shared" si="287"/>
        <v>41.561816625000006</v>
      </c>
      <c r="P352" s="108"/>
    </row>
    <row r="353" spans="1:16" s="177" customFormat="1" x14ac:dyDescent="0.25">
      <c r="A353" s="109">
        <f>IF(G353&lt;&gt;"",1+MAX($A$13:A352),"")</f>
        <v>219</v>
      </c>
      <c r="B353" s="178" t="s">
        <v>381</v>
      </c>
      <c r="C353" s="178" t="s">
        <v>50</v>
      </c>
      <c r="D353" s="113" t="s">
        <v>70</v>
      </c>
      <c r="E353" s="112">
        <f>E348*4</f>
        <v>11.12</v>
      </c>
      <c r="F353" s="107">
        <f>VLOOKUP(H353,'PROJECT SUMMARY'!$C$26:$D$32,2,0)</f>
        <v>0.05</v>
      </c>
      <c r="G353" s="112">
        <f t="shared" si="279"/>
        <v>11.676</v>
      </c>
      <c r="H353" s="178" t="s">
        <v>11</v>
      </c>
      <c r="I353" s="110">
        <v>7.0000000000000001E-3</v>
      </c>
      <c r="J353" s="80">
        <f t="shared" si="284"/>
        <v>8.1731999999999999E-2</v>
      </c>
      <c r="K353" s="106">
        <v>47.5</v>
      </c>
      <c r="L353" s="106">
        <f t="shared" si="285"/>
        <v>3.8822700000000001</v>
      </c>
      <c r="M353" s="106">
        <v>0.15</v>
      </c>
      <c r="N353" s="106">
        <f t="shared" si="286"/>
        <v>1.7514000000000001</v>
      </c>
      <c r="O353" s="106">
        <f t="shared" si="287"/>
        <v>5.6336700000000004</v>
      </c>
      <c r="P353" s="108"/>
    </row>
    <row r="354" spans="1:16" s="177" customFormat="1" ht="15" customHeight="1" x14ac:dyDescent="0.25">
      <c r="A354" s="109" t="str">
        <f>IF(G354&lt;&gt;"",1+MAX($A$13:A353),"")</f>
        <v/>
      </c>
      <c r="B354" s="178"/>
      <c r="C354" s="178"/>
      <c r="E354" s="112"/>
      <c r="F354" s="107"/>
      <c r="G354" s="112"/>
      <c r="H354" s="178"/>
      <c r="J354" s="80"/>
      <c r="K354" s="106"/>
      <c r="L354" s="106"/>
      <c r="M354" s="106"/>
      <c r="N354" s="106"/>
      <c r="O354" s="106"/>
      <c r="P354" s="108"/>
    </row>
    <row r="355" spans="1:16" s="177" customFormat="1" x14ac:dyDescent="0.25">
      <c r="A355" s="109" t="str">
        <f>IF(G355&lt;&gt;"",1+MAX($A$13:A354),"")</f>
        <v/>
      </c>
      <c r="B355" s="178"/>
      <c r="C355" s="178"/>
      <c r="D355" s="58" t="s">
        <v>341</v>
      </c>
      <c r="E355" s="79">
        <v>73.67</v>
      </c>
      <c r="F355" s="107"/>
      <c r="G355" s="112"/>
      <c r="H355" s="178" t="s">
        <v>11</v>
      </c>
      <c r="J355" s="80"/>
      <c r="K355" s="106"/>
      <c r="L355" s="106"/>
      <c r="M355" s="106"/>
      <c r="N355" s="106"/>
      <c r="O355" s="106"/>
      <c r="P355" s="108"/>
    </row>
    <row r="356" spans="1:16" s="177" customFormat="1" x14ac:dyDescent="0.25">
      <c r="A356" s="109">
        <f>IF(G356&lt;&gt;"",1+MAX($A$13:A355),"")</f>
        <v>220</v>
      </c>
      <c r="B356" s="178" t="s">
        <v>381</v>
      </c>
      <c r="C356" s="178" t="s">
        <v>50</v>
      </c>
      <c r="D356" s="113" t="s">
        <v>362</v>
      </c>
      <c r="E356" s="112">
        <f>E355*10.167*2/32</f>
        <v>46.812680624999999</v>
      </c>
      <c r="F356" s="107">
        <f>VLOOKUP(H356,'PROJECT SUMMARY'!$C$26:$D$32,2,0)</f>
        <v>0</v>
      </c>
      <c r="G356" s="112">
        <f t="shared" ref="G356:G360" si="288">E356*(1+F356)</f>
        <v>46.812680624999999</v>
      </c>
      <c r="H356" s="178" t="s">
        <v>10</v>
      </c>
      <c r="I356" s="110">
        <v>0.35</v>
      </c>
      <c r="J356" s="80">
        <f t="shared" ref="J356" si="289">I356*G356</f>
        <v>16.384438218749999</v>
      </c>
      <c r="K356" s="106">
        <v>47.5</v>
      </c>
      <c r="L356" s="106">
        <f t="shared" ref="L356" si="290">K356*J356</f>
        <v>778.260815390625</v>
      </c>
      <c r="M356" s="106">
        <v>9.6</v>
      </c>
      <c r="N356" s="106">
        <f t="shared" ref="N356" si="291">M356*G356</f>
        <v>449.40173399999998</v>
      </c>
      <c r="O356" s="106">
        <f t="shared" ref="O356" si="292">L356+N356</f>
        <v>1227.6625493906249</v>
      </c>
      <c r="P356" s="108"/>
    </row>
    <row r="357" spans="1:16" s="177" customFormat="1" x14ac:dyDescent="0.25">
      <c r="A357" s="109">
        <f>IF(G357&lt;&gt;"",1+MAX($A$13:A356),"")</f>
        <v>221</v>
      </c>
      <c r="B357" s="178" t="s">
        <v>381</v>
      </c>
      <c r="C357" s="178" t="s">
        <v>50</v>
      </c>
      <c r="D357" s="113" t="s">
        <v>342</v>
      </c>
      <c r="E357" s="112">
        <f>E355/1.33</f>
        <v>55.390977443609017</v>
      </c>
      <c r="F357" s="107">
        <f>VLOOKUP(H357,'PROJECT SUMMARY'!$C$26:$D$32,2,0)</f>
        <v>0</v>
      </c>
      <c r="G357" s="112">
        <f t="shared" si="288"/>
        <v>55.390977443609017</v>
      </c>
      <c r="H357" s="178" t="s">
        <v>10</v>
      </c>
      <c r="I357" s="110">
        <v>0.42000000000000004</v>
      </c>
      <c r="J357" s="80">
        <f t="shared" ref="J356:J360" si="293">I357*G357</f>
        <v>23.264210526315789</v>
      </c>
      <c r="K357" s="106">
        <v>47.5</v>
      </c>
      <c r="L357" s="106">
        <f t="shared" ref="L356:L360" si="294">K357*J357</f>
        <v>1105.05</v>
      </c>
      <c r="M357" s="106">
        <v>18.600000000000001</v>
      </c>
      <c r="N357" s="106">
        <f t="shared" ref="N356:N360" si="295">M357*G357</f>
        <v>1030.2721804511277</v>
      </c>
      <c r="O357" s="106">
        <f t="shared" ref="O356:O360" si="296">L357+N357</f>
        <v>2135.3221804511277</v>
      </c>
      <c r="P357" s="108"/>
    </row>
    <row r="358" spans="1:16" s="177" customFormat="1" x14ac:dyDescent="0.25">
      <c r="A358" s="109">
        <f>IF(G358&lt;&gt;"",1+MAX($A$13:A357),"")</f>
        <v>222</v>
      </c>
      <c r="B358" s="178" t="s">
        <v>381</v>
      </c>
      <c r="C358" s="178" t="s">
        <v>50</v>
      </c>
      <c r="D358" s="113" t="s">
        <v>343</v>
      </c>
      <c r="E358" s="112">
        <f>E355*3</f>
        <v>221.01</v>
      </c>
      <c r="F358" s="107">
        <f>VLOOKUP(H358,'PROJECT SUMMARY'!$C$26:$D$32,2,0)</f>
        <v>0.05</v>
      </c>
      <c r="G358" s="112">
        <f t="shared" si="288"/>
        <v>232.06049999999999</v>
      </c>
      <c r="H358" s="178" t="s">
        <v>11</v>
      </c>
      <c r="I358" s="110">
        <v>3.5000000000000003E-2</v>
      </c>
      <c r="J358" s="80">
        <f t="shared" si="293"/>
        <v>8.1221174999999999</v>
      </c>
      <c r="K358" s="106">
        <v>47.5</v>
      </c>
      <c r="L358" s="106">
        <f t="shared" si="294"/>
        <v>385.80058124999999</v>
      </c>
      <c r="M358" s="106">
        <v>1.55</v>
      </c>
      <c r="N358" s="106">
        <f t="shared" si="295"/>
        <v>359.69377500000002</v>
      </c>
      <c r="O358" s="106">
        <f t="shared" si="296"/>
        <v>745.49435625000001</v>
      </c>
      <c r="P358" s="108"/>
    </row>
    <row r="359" spans="1:16" s="177" customFormat="1" x14ac:dyDescent="0.25">
      <c r="A359" s="109">
        <f>IF(G359&lt;&gt;"",1+MAX($A$13:A358),"")</f>
        <v>223</v>
      </c>
      <c r="B359" s="178" t="s">
        <v>381</v>
      </c>
      <c r="C359" s="178" t="s">
        <v>50</v>
      </c>
      <c r="D359" s="113" t="s">
        <v>344</v>
      </c>
      <c r="E359" s="112">
        <f>E355*10.167</f>
        <v>749.00288999999998</v>
      </c>
      <c r="F359" s="107">
        <f>VLOOKUP(H359,'PROJECT SUMMARY'!$C$26:$D$32,2,0)</f>
        <v>0.05</v>
      </c>
      <c r="G359" s="112">
        <f>E359*(1+F359)</f>
        <v>786.45303450000006</v>
      </c>
      <c r="H359" s="178" t="s">
        <v>12</v>
      </c>
      <c r="I359" s="110">
        <v>1.4999999999999999E-2</v>
      </c>
      <c r="J359" s="80">
        <f t="shared" si="293"/>
        <v>11.7967955175</v>
      </c>
      <c r="K359" s="106">
        <v>47.5</v>
      </c>
      <c r="L359" s="106">
        <f t="shared" si="294"/>
        <v>560.34778708124998</v>
      </c>
      <c r="M359" s="106">
        <v>0.9</v>
      </c>
      <c r="N359" s="106">
        <f t="shared" si="295"/>
        <v>707.80773105000003</v>
      </c>
      <c r="O359" s="106">
        <f t="shared" si="296"/>
        <v>1268.1555181312501</v>
      </c>
      <c r="P359" s="108"/>
    </row>
    <row r="360" spans="1:16" s="177" customFormat="1" x14ac:dyDescent="0.25">
      <c r="A360" s="109">
        <f>IF(G360&lt;&gt;"",1+MAX($A$13:A359),"")</f>
        <v>224</v>
      </c>
      <c r="B360" s="178" t="s">
        <v>381</v>
      </c>
      <c r="C360" s="178" t="s">
        <v>50</v>
      </c>
      <c r="D360" s="113" t="s">
        <v>70</v>
      </c>
      <c r="E360" s="112">
        <f>E355*4</f>
        <v>294.68</v>
      </c>
      <c r="F360" s="107">
        <f>VLOOKUP(H360,'PROJECT SUMMARY'!$C$26:$D$32,2,0)</f>
        <v>0.05</v>
      </c>
      <c r="G360" s="112">
        <f t="shared" si="288"/>
        <v>309.41400000000004</v>
      </c>
      <c r="H360" s="178" t="s">
        <v>11</v>
      </c>
      <c r="I360" s="110">
        <v>7.0000000000000001E-3</v>
      </c>
      <c r="J360" s="80">
        <f t="shared" si="293"/>
        <v>2.1658980000000003</v>
      </c>
      <c r="K360" s="106">
        <v>47.5</v>
      </c>
      <c r="L360" s="106">
        <f t="shared" si="294"/>
        <v>102.88015500000002</v>
      </c>
      <c r="M360" s="106">
        <v>0.15</v>
      </c>
      <c r="N360" s="106">
        <f t="shared" si="295"/>
        <v>46.412100000000002</v>
      </c>
      <c r="O360" s="106">
        <f t="shared" si="296"/>
        <v>149.29225500000001</v>
      </c>
      <c r="P360" s="108"/>
    </row>
    <row r="361" spans="1:16" s="177" customFormat="1" ht="15" customHeight="1" x14ac:dyDescent="0.25">
      <c r="A361" s="109" t="str">
        <f>IF(G361&lt;&gt;"",1+MAX($A$13:A360),"")</f>
        <v/>
      </c>
      <c r="B361" s="178"/>
      <c r="C361" s="178"/>
      <c r="E361" s="112"/>
      <c r="F361" s="107"/>
      <c r="G361" s="112"/>
      <c r="H361" s="178"/>
      <c r="J361" s="80"/>
      <c r="K361" s="106"/>
      <c r="L361" s="106"/>
      <c r="M361" s="106"/>
      <c r="N361" s="106"/>
      <c r="O361" s="106"/>
      <c r="P361" s="108"/>
    </row>
    <row r="362" spans="1:16" s="177" customFormat="1" x14ac:dyDescent="0.25">
      <c r="A362" s="109" t="str">
        <f>IF(G362&lt;&gt;"",1+MAX($A$13:A361),"")</f>
        <v/>
      </c>
      <c r="B362" s="178"/>
      <c r="C362" s="178"/>
      <c r="D362" s="58" t="s">
        <v>341</v>
      </c>
      <c r="E362" s="79">
        <v>34.46</v>
      </c>
      <c r="F362" s="107"/>
      <c r="G362" s="112"/>
      <c r="H362" s="178" t="s">
        <v>11</v>
      </c>
      <c r="J362" s="80"/>
      <c r="K362" s="106"/>
      <c r="L362" s="106"/>
      <c r="M362" s="106"/>
      <c r="N362" s="106"/>
      <c r="O362" s="106"/>
      <c r="P362" s="108"/>
    </row>
    <row r="363" spans="1:16" s="177" customFormat="1" x14ac:dyDescent="0.25">
      <c r="A363" s="109">
        <f>IF(G363&lt;&gt;"",1+MAX($A$13:A362),"")</f>
        <v>225</v>
      </c>
      <c r="B363" s="178" t="s">
        <v>381</v>
      </c>
      <c r="C363" s="178" t="s">
        <v>50</v>
      </c>
      <c r="D363" s="113" t="s">
        <v>336</v>
      </c>
      <c r="E363" s="112">
        <f>E362*10.167/32</f>
        <v>10.948588125000001</v>
      </c>
      <c r="F363" s="107">
        <f>VLOOKUP(H363,'PROJECT SUMMARY'!$C$26:$D$32,2,0)</f>
        <v>0</v>
      </c>
      <c r="G363" s="112">
        <f t="shared" ref="G363:G366" si="297">E363*(1+F363)</f>
        <v>10.948588125000001</v>
      </c>
      <c r="H363" s="178" t="s">
        <v>10</v>
      </c>
      <c r="I363" s="110">
        <v>0.35</v>
      </c>
      <c r="J363" s="80">
        <f t="shared" ref="J363" si="298">I363*G363</f>
        <v>3.8320058437499998</v>
      </c>
      <c r="K363" s="106">
        <v>47.5</v>
      </c>
      <c r="L363" s="106">
        <f t="shared" ref="L363" si="299">K363*J363</f>
        <v>182.02027757812499</v>
      </c>
      <c r="M363" s="106">
        <v>9.6</v>
      </c>
      <c r="N363" s="106">
        <f t="shared" ref="N363" si="300">M363*G363</f>
        <v>105.10644600000001</v>
      </c>
      <c r="O363" s="106">
        <f t="shared" ref="O363" si="301">L363+N363</f>
        <v>287.126723578125</v>
      </c>
      <c r="P363" s="108"/>
    </row>
    <row r="364" spans="1:16" s="177" customFormat="1" x14ac:dyDescent="0.25">
      <c r="A364" s="109">
        <f>IF(G364&lt;&gt;"",1+MAX($A$13:A363),"")</f>
        <v>226</v>
      </c>
      <c r="B364" s="178" t="s">
        <v>381</v>
      </c>
      <c r="C364" s="178" t="s">
        <v>50</v>
      </c>
      <c r="D364" s="113" t="s">
        <v>346</v>
      </c>
      <c r="E364" s="112">
        <f>E362*10.167/32</f>
        <v>10.948588125000001</v>
      </c>
      <c r="F364" s="107">
        <f>VLOOKUP(H364,'PROJECT SUMMARY'!$C$26:$D$32,2,0)</f>
        <v>0</v>
      </c>
      <c r="G364" s="112">
        <f t="shared" ref="G364" si="302">E364*(1+F364)</f>
        <v>10.948588125000001</v>
      </c>
      <c r="H364" s="178" t="s">
        <v>10</v>
      </c>
      <c r="I364" s="110">
        <v>0.35</v>
      </c>
      <c r="J364" s="80">
        <f t="shared" ref="J363:J368" si="303">I364*G364</f>
        <v>3.8320058437499998</v>
      </c>
      <c r="K364" s="106">
        <v>47.5</v>
      </c>
      <c r="L364" s="106">
        <f t="shared" ref="L363:L368" si="304">K364*J364</f>
        <v>182.02027757812499</v>
      </c>
      <c r="M364" s="106">
        <v>11</v>
      </c>
      <c r="N364" s="106">
        <f t="shared" ref="N363:N368" si="305">M364*G364</f>
        <v>120.43446937500001</v>
      </c>
      <c r="O364" s="106">
        <f t="shared" ref="O363:O368" si="306">L364+N364</f>
        <v>302.45474695312498</v>
      </c>
      <c r="P364" s="108"/>
    </row>
    <row r="365" spans="1:16" s="177" customFormat="1" x14ac:dyDescent="0.25">
      <c r="A365" s="109">
        <f>IF(G365&lt;&gt;"",1+MAX($A$13:A364),"")</f>
        <v>227</v>
      </c>
      <c r="B365" s="178" t="s">
        <v>381</v>
      </c>
      <c r="C365" s="178" t="s">
        <v>50</v>
      </c>
      <c r="D365" s="113" t="s">
        <v>342</v>
      </c>
      <c r="E365" s="112">
        <f>E362/1.33</f>
        <v>25.909774436090224</v>
      </c>
      <c r="F365" s="107">
        <f>VLOOKUP(H365,'PROJECT SUMMARY'!$C$26:$D$32,2,0)</f>
        <v>0</v>
      </c>
      <c r="G365" s="112">
        <f t="shared" si="297"/>
        <v>25.909774436090224</v>
      </c>
      <c r="H365" s="178" t="s">
        <v>10</v>
      </c>
      <c r="I365" s="110">
        <v>0.42000000000000004</v>
      </c>
      <c r="J365" s="80">
        <f t="shared" si="303"/>
        <v>10.882105263157895</v>
      </c>
      <c r="K365" s="106">
        <v>47.5</v>
      </c>
      <c r="L365" s="106">
        <f t="shared" si="304"/>
        <v>516.9</v>
      </c>
      <c r="M365" s="106">
        <v>18.600000000000001</v>
      </c>
      <c r="N365" s="106">
        <f t="shared" si="305"/>
        <v>481.9218045112782</v>
      </c>
      <c r="O365" s="106">
        <f t="shared" si="306"/>
        <v>998.82180451127817</v>
      </c>
      <c r="P365" s="108"/>
    </row>
    <row r="366" spans="1:16" s="177" customFormat="1" x14ac:dyDescent="0.25">
      <c r="A366" s="109">
        <f>IF(G366&lt;&gt;"",1+MAX($A$13:A365),"")</f>
        <v>228</v>
      </c>
      <c r="B366" s="178" t="s">
        <v>381</v>
      </c>
      <c r="C366" s="178" t="s">
        <v>50</v>
      </c>
      <c r="D366" s="113" t="s">
        <v>343</v>
      </c>
      <c r="E366" s="112">
        <f>E362*3</f>
        <v>103.38</v>
      </c>
      <c r="F366" s="107">
        <f>VLOOKUP(H366,'PROJECT SUMMARY'!$C$26:$D$32,2,0)</f>
        <v>0.05</v>
      </c>
      <c r="G366" s="112">
        <f t="shared" si="297"/>
        <v>108.54900000000001</v>
      </c>
      <c r="H366" s="178" t="s">
        <v>11</v>
      </c>
      <c r="I366" s="110">
        <v>3.5000000000000003E-2</v>
      </c>
      <c r="J366" s="80">
        <f t="shared" si="303"/>
        <v>3.7992150000000007</v>
      </c>
      <c r="K366" s="106">
        <v>47.5</v>
      </c>
      <c r="L366" s="106">
        <f t="shared" si="304"/>
        <v>180.46271250000004</v>
      </c>
      <c r="M366" s="106">
        <v>1.55</v>
      </c>
      <c r="N366" s="106">
        <f t="shared" si="305"/>
        <v>168.25095000000002</v>
      </c>
      <c r="O366" s="106">
        <f t="shared" si="306"/>
        <v>348.71366250000005</v>
      </c>
      <c r="P366" s="108"/>
    </row>
    <row r="367" spans="1:16" s="177" customFormat="1" x14ac:dyDescent="0.25">
      <c r="A367" s="109">
        <f>IF(G367&lt;&gt;"",1+MAX($A$13:A366),"")</f>
        <v>229</v>
      </c>
      <c r="B367" s="178" t="s">
        <v>381</v>
      </c>
      <c r="C367" s="178" t="s">
        <v>50</v>
      </c>
      <c r="D367" s="113" t="s">
        <v>344</v>
      </c>
      <c r="E367" s="112">
        <f>E362*10.167</f>
        <v>350.35482000000002</v>
      </c>
      <c r="F367" s="107">
        <f>VLOOKUP(H367,'PROJECT SUMMARY'!$C$26:$D$32,2,0)</f>
        <v>0.05</v>
      </c>
      <c r="G367" s="112">
        <f>E367*(1+F367)</f>
        <v>367.87256100000002</v>
      </c>
      <c r="H367" s="178" t="s">
        <v>12</v>
      </c>
      <c r="I367" s="110">
        <v>1.4999999999999999E-2</v>
      </c>
      <c r="J367" s="80">
        <f t="shared" si="303"/>
        <v>5.5180884150000002</v>
      </c>
      <c r="K367" s="106">
        <v>47.5</v>
      </c>
      <c r="L367" s="106">
        <f t="shared" si="304"/>
        <v>262.10919971250001</v>
      </c>
      <c r="M367" s="106">
        <v>0.9</v>
      </c>
      <c r="N367" s="106">
        <f t="shared" si="305"/>
        <v>331.08530490000004</v>
      </c>
      <c r="O367" s="106">
        <f t="shared" si="306"/>
        <v>593.19450461250005</v>
      </c>
      <c r="P367" s="108"/>
    </row>
    <row r="368" spans="1:16" s="177" customFormat="1" x14ac:dyDescent="0.25">
      <c r="A368" s="109">
        <f>IF(G368&lt;&gt;"",1+MAX($A$13:A367),"")</f>
        <v>230</v>
      </c>
      <c r="B368" s="178" t="s">
        <v>381</v>
      </c>
      <c r="C368" s="178" t="s">
        <v>50</v>
      </c>
      <c r="D368" s="113" t="s">
        <v>70</v>
      </c>
      <c r="E368" s="112">
        <f>E362*4</f>
        <v>137.84</v>
      </c>
      <c r="F368" s="107">
        <f>VLOOKUP(H368,'PROJECT SUMMARY'!$C$26:$D$32,2,0)</f>
        <v>0.05</v>
      </c>
      <c r="G368" s="112">
        <f t="shared" ref="G368" si="307">E368*(1+F368)</f>
        <v>144.732</v>
      </c>
      <c r="H368" s="178" t="s">
        <v>11</v>
      </c>
      <c r="I368" s="110">
        <v>7.0000000000000001E-3</v>
      </c>
      <c r="J368" s="80">
        <f t="shared" si="303"/>
        <v>1.0131239999999999</v>
      </c>
      <c r="K368" s="106">
        <v>47.5</v>
      </c>
      <c r="L368" s="106">
        <f t="shared" si="304"/>
        <v>48.123389999999993</v>
      </c>
      <c r="M368" s="106">
        <v>0.15</v>
      </c>
      <c r="N368" s="106">
        <f t="shared" si="305"/>
        <v>21.709799999999998</v>
      </c>
      <c r="O368" s="106">
        <f t="shared" si="306"/>
        <v>69.833189999999988</v>
      </c>
      <c r="P368" s="108"/>
    </row>
    <row r="369" spans="1:16" s="177" customFormat="1" ht="15" customHeight="1" x14ac:dyDescent="0.25">
      <c r="A369" s="109" t="str">
        <f>IF(G369&lt;&gt;"",1+MAX($A$13:A368),"")</f>
        <v/>
      </c>
      <c r="B369" s="178"/>
      <c r="C369" s="178"/>
      <c r="E369" s="112"/>
      <c r="F369" s="107"/>
      <c r="G369" s="112"/>
      <c r="H369" s="178"/>
      <c r="J369" s="80"/>
      <c r="K369" s="106"/>
      <c r="L369" s="106"/>
      <c r="M369" s="106"/>
      <c r="N369" s="106"/>
      <c r="O369" s="106"/>
      <c r="P369" s="108"/>
    </row>
    <row r="370" spans="1:16" s="177" customFormat="1" x14ac:dyDescent="0.25">
      <c r="A370" s="109" t="str">
        <f>IF(G370&lt;&gt;"",1+MAX($A$13:A369),"")</f>
        <v/>
      </c>
      <c r="B370" s="178"/>
      <c r="C370" s="178"/>
      <c r="D370" s="58" t="s">
        <v>368</v>
      </c>
      <c r="E370" s="79">
        <v>5.87</v>
      </c>
      <c r="F370" s="107"/>
      <c r="G370" s="112"/>
      <c r="H370" s="178" t="s">
        <v>11</v>
      </c>
      <c r="J370" s="80"/>
      <c r="K370" s="106"/>
      <c r="L370" s="106"/>
      <c r="M370" s="106"/>
      <c r="N370" s="106"/>
      <c r="O370" s="106"/>
      <c r="P370" s="108"/>
    </row>
    <row r="371" spans="1:16" s="177" customFormat="1" x14ac:dyDescent="0.25">
      <c r="A371" s="109">
        <f>IF(G371&lt;&gt;"",1+MAX($A$13:A370),"")</f>
        <v>231</v>
      </c>
      <c r="B371" s="178" t="s">
        <v>381</v>
      </c>
      <c r="C371" s="178" t="s">
        <v>50</v>
      </c>
      <c r="D371" s="113" t="s">
        <v>336</v>
      </c>
      <c r="E371" s="112">
        <f>E370*9*2/32</f>
        <v>3.3018749999999999</v>
      </c>
      <c r="F371" s="107">
        <f>VLOOKUP(H371,'PROJECT SUMMARY'!$C$26:$D$32,2,0)</f>
        <v>0</v>
      </c>
      <c r="G371" s="112">
        <f t="shared" ref="G371:G373" si="308">E371*(1+F371)</f>
        <v>3.3018749999999999</v>
      </c>
      <c r="H371" s="178" t="s">
        <v>10</v>
      </c>
      <c r="I371" s="110">
        <v>0.35</v>
      </c>
      <c r="J371" s="80">
        <f t="shared" ref="J371:J372" si="309">I371*G371</f>
        <v>1.1556562499999998</v>
      </c>
      <c r="K371" s="106">
        <v>47.5</v>
      </c>
      <c r="L371" s="106">
        <f t="shared" ref="L371:L372" si="310">K371*J371</f>
        <v>54.893671874999995</v>
      </c>
      <c r="M371" s="106">
        <v>9.6</v>
      </c>
      <c r="N371" s="106">
        <f t="shared" ref="N371:N372" si="311">M371*G371</f>
        <v>31.697999999999997</v>
      </c>
      <c r="O371" s="106">
        <f t="shared" ref="O371:O372" si="312">L371+N371</f>
        <v>86.591671874999989</v>
      </c>
      <c r="P371" s="108"/>
    </row>
    <row r="372" spans="1:16" s="177" customFormat="1" x14ac:dyDescent="0.25">
      <c r="A372" s="109">
        <f>IF(G372&lt;&gt;"",1+MAX($A$13:A371),"")</f>
        <v>232</v>
      </c>
      <c r="B372" s="178" t="s">
        <v>381</v>
      </c>
      <c r="C372" s="178" t="s">
        <v>50</v>
      </c>
      <c r="D372" s="113" t="s">
        <v>340</v>
      </c>
      <c r="E372" s="112">
        <f>E370/1.33</f>
        <v>4.4135338345864659</v>
      </c>
      <c r="F372" s="107">
        <f>VLOOKUP(H372,'PROJECT SUMMARY'!$C$26:$D$32,2,0)</f>
        <v>0</v>
      </c>
      <c r="G372" s="112">
        <f t="shared" si="308"/>
        <v>4.4135338345864659</v>
      </c>
      <c r="H372" s="178" t="s">
        <v>10</v>
      </c>
      <c r="I372" s="110">
        <v>0.48</v>
      </c>
      <c r="J372" s="80">
        <f t="shared" si="309"/>
        <v>2.1184962406015035</v>
      </c>
      <c r="K372" s="106">
        <v>47.5</v>
      </c>
      <c r="L372" s="106">
        <f t="shared" si="310"/>
        <v>100.62857142857142</v>
      </c>
      <c r="M372" s="106">
        <v>22.200000000000003</v>
      </c>
      <c r="N372" s="106">
        <f t="shared" si="311"/>
        <v>97.980451127819549</v>
      </c>
      <c r="O372" s="106">
        <f t="shared" si="312"/>
        <v>198.60902255639098</v>
      </c>
      <c r="P372" s="108"/>
    </row>
    <row r="373" spans="1:16" s="177" customFormat="1" x14ac:dyDescent="0.25">
      <c r="A373" s="109">
        <f>IF(G373&lt;&gt;"",1+MAX($A$13:A372),"")</f>
        <v>233</v>
      </c>
      <c r="B373" s="178" t="s">
        <v>381</v>
      </c>
      <c r="C373" s="178" t="s">
        <v>50</v>
      </c>
      <c r="D373" s="113" t="s">
        <v>338</v>
      </c>
      <c r="E373" s="112">
        <f>E370*3</f>
        <v>17.61</v>
      </c>
      <c r="F373" s="107">
        <f>VLOOKUP(H373,'PROJECT SUMMARY'!$C$26:$D$32,2,0)</f>
        <v>0.05</v>
      </c>
      <c r="G373" s="112">
        <f t="shared" si="308"/>
        <v>18.490500000000001</v>
      </c>
      <c r="H373" s="178" t="s">
        <v>11</v>
      </c>
      <c r="I373" s="110">
        <v>0.04</v>
      </c>
      <c r="J373" s="80">
        <f t="shared" ref="J371:J375" si="313">I373*G373</f>
        <v>0.73962000000000006</v>
      </c>
      <c r="K373" s="106">
        <v>47.5</v>
      </c>
      <c r="L373" s="106">
        <f t="shared" ref="L371:L375" si="314">K373*J373</f>
        <v>35.131950000000003</v>
      </c>
      <c r="M373" s="106">
        <v>1.85</v>
      </c>
      <c r="N373" s="106">
        <f t="shared" ref="N371:N375" si="315">M373*G373</f>
        <v>34.207425000000001</v>
      </c>
      <c r="O373" s="106">
        <f t="shared" ref="O371:O375" si="316">L373+N373</f>
        <v>69.339375000000004</v>
      </c>
      <c r="P373" s="108"/>
    </row>
    <row r="374" spans="1:16" s="177" customFormat="1" x14ac:dyDescent="0.25">
      <c r="A374" s="109">
        <f>IF(G374&lt;&gt;"",1+MAX($A$13:A373),"")</f>
        <v>234</v>
      </c>
      <c r="B374" s="178" t="s">
        <v>381</v>
      </c>
      <c r="C374" s="178" t="s">
        <v>50</v>
      </c>
      <c r="D374" s="113" t="s">
        <v>344</v>
      </c>
      <c r="E374" s="112">
        <f>E370*9</f>
        <v>52.83</v>
      </c>
      <c r="F374" s="107">
        <f>VLOOKUP(H374,'PROJECT SUMMARY'!$C$26:$D$32,2,0)</f>
        <v>0.05</v>
      </c>
      <c r="G374" s="112">
        <f>E374*(1+F374)</f>
        <v>55.471499999999999</v>
      </c>
      <c r="H374" s="178" t="s">
        <v>12</v>
      </c>
      <c r="I374" s="110">
        <v>1.4999999999999999E-2</v>
      </c>
      <c r="J374" s="80">
        <f t="shared" si="313"/>
        <v>0.83207249999999999</v>
      </c>
      <c r="K374" s="106">
        <v>47.5</v>
      </c>
      <c r="L374" s="106">
        <f t="shared" si="314"/>
        <v>39.523443749999998</v>
      </c>
      <c r="M374" s="106">
        <v>0.9</v>
      </c>
      <c r="N374" s="106">
        <f t="shared" si="315"/>
        <v>49.924349999999997</v>
      </c>
      <c r="O374" s="106">
        <f t="shared" si="316"/>
        <v>89.447793749999988</v>
      </c>
      <c r="P374" s="108"/>
    </row>
    <row r="375" spans="1:16" s="177" customFormat="1" x14ac:dyDescent="0.25">
      <c r="A375" s="109">
        <f>IF(G375&lt;&gt;"",1+MAX($A$13:A374),"")</f>
        <v>235</v>
      </c>
      <c r="B375" s="178" t="s">
        <v>381</v>
      </c>
      <c r="C375" s="178" t="s">
        <v>50</v>
      </c>
      <c r="D375" s="113" t="s">
        <v>70</v>
      </c>
      <c r="E375" s="112">
        <f>E370*4</f>
        <v>23.48</v>
      </c>
      <c r="F375" s="107">
        <f>VLOOKUP(H375,'PROJECT SUMMARY'!$C$26:$D$32,2,0)</f>
        <v>0.05</v>
      </c>
      <c r="G375" s="112">
        <f t="shared" ref="G375" si="317">E375*(1+F375)</f>
        <v>24.654</v>
      </c>
      <c r="H375" s="178" t="s">
        <v>11</v>
      </c>
      <c r="I375" s="110">
        <v>7.0000000000000001E-3</v>
      </c>
      <c r="J375" s="80">
        <f t="shared" si="313"/>
        <v>0.17257800000000001</v>
      </c>
      <c r="K375" s="106">
        <v>47.5</v>
      </c>
      <c r="L375" s="106">
        <f t="shared" si="314"/>
        <v>8.1974549999999997</v>
      </c>
      <c r="M375" s="106">
        <v>0.15</v>
      </c>
      <c r="N375" s="106">
        <f t="shared" si="315"/>
        <v>3.6980999999999997</v>
      </c>
      <c r="O375" s="106">
        <f t="shared" si="316"/>
        <v>11.895555</v>
      </c>
      <c r="P375" s="108"/>
    </row>
    <row r="376" spans="1:16" s="177" customFormat="1" ht="15" customHeight="1" x14ac:dyDescent="0.25">
      <c r="A376" s="109" t="str">
        <f>IF(G376&lt;&gt;"",1+MAX($A$13:A375),"")</f>
        <v/>
      </c>
      <c r="B376" s="178"/>
      <c r="C376" s="178"/>
      <c r="E376" s="112"/>
      <c r="F376" s="107"/>
      <c r="G376" s="112"/>
      <c r="H376" s="178"/>
      <c r="J376" s="80"/>
      <c r="K376" s="106"/>
      <c r="L376" s="106"/>
      <c r="M376" s="106"/>
      <c r="N376" s="106"/>
      <c r="O376" s="106"/>
      <c r="P376" s="108"/>
    </row>
    <row r="377" spans="1:16" s="177" customFormat="1" x14ac:dyDescent="0.25">
      <c r="A377" s="109" t="str">
        <f>IF(G377&lt;&gt;"",1+MAX($A$13:A376),"")</f>
        <v/>
      </c>
      <c r="B377" s="178"/>
      <c r="C377" s="178"/>
      <c r="D377" s="58" t="s">
        <v>369</v>
      </c>
      <c r="E377" s="79">
        <v>14.73</v>
      </c>
      <c r="F377" s="107"/>
      <c r="G377" s="112"/>
      <c r="H377" s="178" t="s">
        <v>11</v>
      </c>
      <c r="J377" s="80"/>
      <c r="K377" s="106"/>
      <c r="L377" s="106"/>
      <c r="M377" s="106"/>
      <c r="N377" s="106"/>
      <c r="O377" s="106"/>
      <c r="P377" s="108"/>
    </row>
    <row r="378" spans="1:16" s="177" customFormat="1" x14ac:dyDescent="0.25">
      <c r="A378" s="109">
        <f>IF(G378&lt;&gt;"",1+MAX($A$13:A377),"")</f>
        <v>236</v>
      </c>
      <c r="B378" s="178" t="s">
        <v>381</v>
      </c>
      <c r="C378" s="178" t="s">
        <v>50</v>
      </c>
      <c r="D378" s="113" t="s">
        <v>336</v>
      </c>
      <c r="E378" s="112">
        <f>E377*9.167*2/32</f>
        <v>8.4393693750000001</v>
      </c>
      <c r="F378" s="107">
        <f>VLOOKUP(H378,'PROJECT SUMMARY'!$C$26:$D$32,2,0)</f>
        <v>0</v>
      </c>
      <c r="G378" s="112">
        <f t="shared" ref="G378:G380" si="318">E378*(1+F378)</f>
        <v>8.4393693750000001</v>
      </c>
      <c r="H378" s="178" t="s">
        <v>10</v>
      </c>
      <c r="I378" s="110">
        <v>0.35</v>
      </c>
      <c r="J378" s="80">
        <f t="shared" ref="J378:J379" si="319">I378*G378</f>
        <v>2.9537792812499997</v>
      </c>
      <c r="K378" s="106">
        <v>47.5</v>
      </c>
      <c r="L378" s="106">
        <f t="shared" ref="L378:L379" si="320">K378*J378</f>
        <v>140.30451585937499</v>
      </c>
      <c r="M378" s="106">
        <v>9.6</v>
      </c>
      <c r="N378" s="106">
        <f t="shared" ref="N378:N379" si="321">M378*G378</f>
        <v>81.017945999999995</v>
      </c>
      <c r="O378" s="106">
        <f t="shared" ref="O378:O379" si="322">L378+N378</f>
        <v>221.32246185937498</v>
      </c>
      <c r="P378" s="108"/>
    </row>
    <row r="379" spans="1:16" s="177" customFormat="1" x14ac:dyDescent="0.25">
      <c r="A379" s="109">
        <f>IF(G379&lt;&gt;"",1+MAX($A$13:A378),"")</f>
        <v>237</v>
      </c>
      <c r="B379" s="178" t="s">
        <v>381</v>
      </c>
      <c r="C379" s="178" t="s">
        <v>50</v>
      </c>
      <c r="D379" s="113" t="s">
        <v>340</v>
      </c>
      <c r="E379" s="112">
        <f>E377/1.33</f>
        <v>11.075187969924812</v>
      </c>
      <c r="F379" s="107">
        <f>VLOOKUP(H379,'PROJECT SUMMARY'!$C$26:$D$32,2,0)</f>
        <v>0</v>
      </c>
      <c r="G379" s="112">
        <f t="shared" si="318"/>
        <v>11.075187969924812</v>
      </c>
      <c r="H379" s="178" t="s">
        <v>10</v>
      </c>
      <c r="I379" s="110">
        <v>0.48</v>
      </c>
      <c r="J379" s="80">
        <f t="shared" si="319"/>
        <v>5.3160902255639098</v>
      </c>
      <c r="K379" s="106">
        <v>47.5</v>
      </c>
      <c r="L379" s="106">
        <f t="shared" si="320"/>
        <v>252.51428571428571</v>
      </c>
      <c r="M379" s="106">
        <v>22.200000000000003</v>
      </c>
      <c r="N379" s="106">
        <f t="shared" si="321"/>
        <v>245.86917293233086</v>
      </c>
      <c r="O379" s="106">
        <f t="shared" si="322"/>
        <v>498.38345864661653</v>
      </c>
      <c r="P379" s="108"/>
    </row>
    <row r="380" spans="1:16" s="177" customFormat="1" x14ac:dyDescent="0.25">
      <c r="A380" s="109">
        <f>IF(G380&lt;&gt;"",1+MAX($A$13:A379),"")</f>
        <v>238</v>
      </c>
      <c r="B380" s="178" t="s">
        <v>381</v>
      </c>
      <c r="C380" s="178" t="s">
        <v>50</v>
      </c>
      <c r="D380" s="113" t="s">
        <v>338</v>
      </c>
      <c r="E380" s="112">
        <f>E377*3</f>
        <v>44.19</v>
      </c>
      <c r="F380" s="107">
        <f>VLOOKUP(H380,'PROJECT SUMMARY'!$C$26:$D$32,2,0)</f>
        <v>0.05</v>
      </c>
      <c r="G380" s="112">
        <f t="shared" si="318"/>
        <v>46.399499999999996</v>
      </c>
      <c r="H380" s="178" t="s">
        <v>11</v>
      </c>
      <c r="I380" s="110">
        <v>0.04</v>
      </c>
      <c r="J380" s="80">
        <f t="shared" ref="J378:J382" si="323">I380*G380</f>
        <v>1.85598</v>
      </c>
      <c r="K380" s="106">
        <v>47.5</v>
      </c>
      <c r="L380" s="106">
        <f t="shared" ref="L378:L382" si="324">K380*J380</f>
        <v>88.159049999999993</v>
      </c>
      <c r="M380" s="106">
        <v>1.85</v>
      </c>
      <c r="N380" s="106">
        <f t="shared" ref="N378:N382" si="325">M380*G380</f>
        <v>85.839074999999994</v>
      </c>
      <c r="O380" s="106">
        <f t="shared" ref="O378:O382" si="326">L380+N380</f>
        <v>173.99812499999999</v>
      </c>
      <c r="P380" s="108"/>
    </row>
    <row r="381" spans="1:16" s="177" customFormat="1" x14ac:dyDescent="0.25">
      <c r="A381" s="109">
        <f>IF(G381&lt;&gt;"",1+MAX($A$13:A380),"")</f>
        <v>239</v>
      </c>
      <c r="B381" s="178" t="s">
        <v>381</v>
      </c>
      <c r="C381" s="178" t="s">
        <v>50</v>
      </c>
      <c r="D381" s="113" t="s">
        <v>344</v>
      </c>
      <c r="E381" s="112">
        <f>E377*9</f>
        <v>132.57</v>
      </c>
      <c r="F381" s="107">
        <f>VLOOKUP(H381,'PROJECT SUMMARY'!$C$26:$D$32,2,0)</f>
        <v>0.05</v>
      </c>
      <c r="G381" s="112">
        <f>E381*(1+F381)</f>
        <v>139.1985</v>
      </c>
      <c r="H381" s="178" t="s">
        <v>12</v>
      </c>
      <c r="I381" s="110">
        <v>1.4999999999999999E-2</v>
      </c>
      <c r="J381" s="80">
        <f t="shared" si="323"/>
        <v>2.0879775</v>
      </c>
      <c r="K381" s="106">
        <v>47.5</v>
      </c>
      <c r="L381" s="106">
        <f t="shared" si="324"/>
        <v>99.178931250000005</v>
      </c>
      <c r="M381" s="106">
        <v>0.9</v>
      </c>
      <c r="N381" s="106">
        <f t="shared" si="325"/>
        <v>125.27865</v>
      </c>
      <c r="O381" s="106">
        <f t="shared" si="326"/>
        <v>224.45758125</v>
      </c>
      <c r="P381" s="108"/>
    </row>
    <row r="382" spans="1:16" s="177" customFormat="1" x14ac:dyDescent="0.25">
      <c r="A382" s="109">
        <f>IF(G382&lt;&gt;"",1+MAX($A$13:A381),"")</f>
        <v>240</v>
      </c>
      <c r="B382" s="178" t="s">
        <v>381</v>
      </c>
      <c r="C382" s="178" t="s">
        <v>50</v>
      </c>
      <c r="D382" s="113" t="s">
        <v>70</v>
      </c>
      <c r="E382" s="112">
        <f>E377*4</f>
        <v>58.92</v>
      </c>
      <c r="F382" s="107">
        <f>VLOOKUP(H382,'PROJECT SUMMARY'!$C$26:$D$32,2,0)</f>
        <v>0.05</v>
      </c>
      <c r="G382" s="112">
        <f t="shared" ref="G382" si="327">E382*(1+F382)</f>
        <v>61.866000000000007</v>
      </c>
      <c r="H382" s="178" t="s">
        <v>11</v>
      </c>
      <c r="I382" s="110">
        <v>7.0000000000000001E-3</v>
      </c>
      <c r="J382" s="80">
        <f t="shared" si="323"/>
        <v>0.43306200000000006</v>
      </c>
      <c r="K382" s="106">
        <v>47.5</v>
      </c>
      <c r="L382" s="106">
        <f t="shared" si="324"/>
        <v>20.570445000000003</v>
      </c>
      <c r="M382" s="106">
        <v>0.15</v>
      </c>
      <c r="N382" s="106">
        <f t="shared" si="325"/>
        <v>9.2799000000000014</v>
      </c>
      <c r="O382" s="106">
        <f t="shared" si="326"/>
        <v>29.850345000000004</v>
      </c>
      <c r="P382" s="108"/>
    </row>
    <row r="383" spans="1:16" s="177" customFormat="1" ht="15" customHeight="1" x14ac:dyDescent="0.25">
      <c r="A383" s="109" t="str">
        <f>IF(G383&lt;&gt;"",1+MAX($A$13:A382),"")</f>
        <v/>
      </c>
      <c r="B383" s="178"/>
      <c r="C383" s="178"/>
      <c r="E383" s="112"/>
      <c r="F383" s="107"/>
      <c r="G383" s="112"/>
      <c r="H383" s="178"/>
      <c r="J383" s="80"/>
      <c r="K383" s="106"/>
      <c r="L383" s="106"/>
      <c r="M383" s="106"/>
      <c r="N383" s="106"/>
      <c r="O383" s="106"/>
      <c r="P383" s="108"/>
    </row>
    <row r="384" spans="1:16" s="177" customFormat="1" x14ac:dyDescent="0.25">
      <c r="A384" s="109" t="str">
        <f>IF(G384&lt;&gt;"",1+MAX($A$13:A383),"")</f>
        <v/>
      </c>
      <c r="B384" s="178"/>
      <c r="C384" s="178"/>
      <c r="D384" s="58" t="s">
        <v>369</v>
      </c>
      <c r="E384" s="79">
        <v>14.73</v>
      </c>
      <c r="F384" s="107"/>
      <c r="G384" s="112"/>
      <c r="H384" s="178" t="s">
        <v>11</v>
      </c>
      <c r="J384" s="80"/>
      <c r="K384" s="106"/>
      <c r="L384" s="106"/>
      <c r="M384" s="106"/>
      <c r="N384" s="106"/>
      <c r="O384" s="106"/>
      <c r="P384" s="108"/>
    </row>
    <row r="385" spans="1:16" s="177" customFormat="1" x14ac:dyDescent="0.25">
      <c r="A385" s="109">
        <f>IF(G385&lt;&gt;"",1+MAX($A$13:A384),"")</f>
        <v>241</v>
      </c>
      <c r="B385" s="178" t="s">
        <v>381</v>
      </c>
      <c r="C385" s="178" t="s">
        <v>50</v>
      </c>
      <c r="D385" s="113" t="s">
        <v>336</v>
      </c>
      <c r="E385" s="112">
        <f>E384*9.167/32</f>
        <v>4.2196846875</v>
      </c>
      <c r="F385" s="107">
        <f>VLOOKUP(H385,'PROJECT SUMMARY'!$C$26:$D$32,2,0)</f>
        <v>0</v>
      </c>
      <c r="G385" s="112">
        <f t="shared" ref="G385:G388" si="328">E385*(1+F385)</f>
        <v>4.2196846875</v>
      </c>
      <c r="H385" s="178" t="s">
        <v>10</v>
      </c>
      <c r="I385" s="110">
        <v>0.35</v>
      </c>
      <c r="J385" s="80">
        <f t="shared" ref="J385" si="329">I385*G385</f>
        <v>1.4768896406249998</v>
      </c>
      <c r="K385" s="106">
        <v>47.5</v>
      </c>
      <c r="L385" s="106">
        <f t="shared" ref="L385" si="330">K385*J385</f>
        <v>70.152257929687494</v>
      </c>
      <c r="M385" s="106">
        <v>9.6</v>
      </c>
      <c r="N385" s="106">
        <f t="shared" ref="N385" si="331">M385*G385</f>
        <v>40.508972999999997</v>
      </c>
      <c r="O385" s="106">
        <f t="shared" ref="O385" si="332">L385+N385</f>
        <v>110.66123092968749</v>
      </c>
      <c r="P385" s="108"/>
    </row>
    <row r="386" spans="1:16" s="177" customFormat="1" x14ac:dyDescent="0.25">
      <c r="A386" s="109">
        <f>IF(G386&lt;&gt;"",1+MAX($A$13:A385),"")</f>
        <v>242</v>
      </c>
      <c r="B386" s="178" t="s">
        <v>381</v>
      </c>
      <c r="C386" s="178" t="s">
        <v>50</v>
      </c>
      <c r="D386" s="113" t="s">
        <v>346</v>
      </c>
      <c r="E386" s="112">
        <f>E384*9.167/32</f>
        <v>4.2196846875</v>
      </c>
      <c r="F386" s="107">
        <f>VLOOKUP(H386,'PROJECT SUMMARY'!$C$26:$D$32,2,0)</f>
        <v>0</v>
      </c>
      <c r="G386" s="112">
        <f t="shared" ref="G386" si="333">E386*(1+F386)</f>
        <v>4.2196846875</v>
      </c>
      <c r="H386" s="178" t="s">
        <v>10</v>
      </c>
      <c r="I386" s="110">
        <v>0.35</v>
      </c>
      <c r="J386" s="80">
        <f t="shared" ref="J385:J390" si="334">I386*G386</f>
        <v>1.4768896406249998</v>
      </c>
      <c r="K386" s="106">
        <v>47.5</v>
      </c>
      <c r="L386" s="106">
        <f t="shared" ref="L385:L390" si="335">K386*J386</f>
        <v>70.152257929687494</v>
      </c>
      <c r="M386" s="106">
        <v>11</v>
      </c>
      <c r="N386" s="106">
        <f t="shared" ref="N385:N390" si="336">M386*G386</f>
        <v>46.416531562499998</v>
      </c>
      <c r="O386" s="106">
        <f t="shared" ref="O385:O390" si="337">L386+N386</f>
        <v>116.56878949218749</v>
      </c>
      <c r="P386" s="108"/>
    </row>
    <row r="387" spans="1:16" s="177" customFormat="1" x14ac:dyDescent="0.25">
      <c r="A387" s="109">
        <f>IF(G387&lt;&gt;"",1+MAX($A$13:A386),"")</f>
        <v>243</v>
      </c>
      <c r="B387" s="178" t="s">
        <v>381</v>
      </c>
      <c r="C387" s="178" t="s">
        <v>50</v>
      </c>
      <c r="D387" s="113" t="s">
        <v>340</v>
      </c>
      <c r="E387" s="112">
        <f>E384/1.33</f>
        <v>11.075187969924812</v>
      </c>
      <c r="F387" s="107">
        <f>VLOOKUP(H387,'PROJECT SUMMARY'!$C$26:$D$32,2,0)</f>
        <v>0</v>
      </c>
      <c r="G387" s="112">
        <f t="shared" si="328"/>
        <v>11.075187969924812</v>
      </c>
      <c r="H387" s="178" t="s">
        <v>10</v>
      </c>
      <c r="I387" s="110">
        <v>0.48</v>
      </c>
      <c r="J387" s="80">
        <f t="shared" si="334"/>
        <v>5.3160902255639098</v>
      </c>
      <c r="K387" s="106">
        <v>47.5</v>
      </c>
      <c r="L387" s="106">
        <f t="shared" si="335"/>
        <v>252.51428571428571</v>
      </c>
      <c r="M387" s="106">
        <v>22.200000000000003</v>
      </c>
      <c r="N387" s="106">
        <f t="shared" si="336"/>
        <v>245.86917293233086</v>
      </c>
      <c r="O387" s="106">
        <f t="shared" si="337"/>
        <v>498.38345864661653</v>
      </c>
      <c r="P387" s="108"/>
    </row>
    <row r="388" spans="1:16" s="177" customFormat="1" x14ac:dyDescent="0.25">
      <c r="A388" s="109">
        <f>IF(G388&lt;&gt;"",1+MAX($A$13:A387),"")</f>
        <v>244</v>
      </c>
      <c r="B388" s="178" t="s">
        <v>381</v>
      </c>
      <c r="C388" s="178" t="s">
        <v>50</v>
      </c>
      <c r="D388" s="113" t="s">
        <v>338</v>
      </c>
      <c r="E388" s="112">
        <f>E384*3</f>
        <v>44.19</v>
      </c>
      <c r="F388" s="107">
        <f>VLOOKUP(H388,'PROJECT SUMMARY'!$C$26:$D$32,2,0)</f>
        <v>0.05</v>
      </c>
      <c r="G388" s="112">
        <f t="shared" si="328"/>
        <v>46.399499999999996</v>
      </c>
      <c r="H388" s="178" t="s">
        <v>11</v>
      </c>
      <c r="I388" s="110">
        <v>0.04</v>
      </c>
      <c r="J388" s="80">
        <f t="shared" si="334"/>
        <v>1.85598</v>
      </c>
      <c r="K388" s="106">
        <v>47.5</v>
      </c>
      <c r="L388" s="106">
        <f t="shared" si="335"/>
        <v>88.159049999999993</v>
      </c>
      <c r="M388" s="106">
        <v>1.85</v>
      </c>
      <c r="N388" s="106">
        <f t="shared" si="336"/>
        <v>85.839074999999994</v>
      </c>
      <c r="O388" s="106">
        <f t="shared" si="337"/>
        <v>173.99812499999999</v>
      </c>
      <c r="P388" s="108"/>
    </row>
    <row r="389" spans="1:16" s="177" customFormat="1" x14ac:dyDescent="0.25">
      <c r="A389" s="109">
        <f>IF(G389&lt;&gt;"",1+MAX($A$13:A388),"")</f>
        <v>245</v>
      </c>
      <c r="B389" s="178" t="s">
        <v>381</v>
      </c>
      <c r="C389" s="178" t="s">
        <v>50</v>
      </c>
      <c r="D389" s="113" t="s">
        <v>344</v>
      </c>
      <c r="E389" s="112">
        <f>E384*9.167</f>
        <v>135.02991</v>
      </c>
      <c r="F389" s="107">
        <f>VLOOKUP(H389,'PROJECT SUMMARY'!$C$26:$D$32,2,0)</f>
        <v>0.05</v>
      </c>
      <c r="G389" s="112">
        <f>E389*(1+F389)</f>
        <v>141.78140550000001</v>
      </c>
      <c r="H389" s="178" t="s">
        <v>12</v>
      </c>
      <c r="I389" s="110">
        <v>1.4999999999999999E-2</v>
      </c>
      <c r="J389" s="80">
        <f t="shared" si="334"/>
        <v>2.1267210825</v>
      </c>
      <c r="K389" s="106">
        <v>47.5</v>
      </c>
      <c r="L389" s="106">
        <f t="shared" si="335"/>
        <v>101.01925141875</v>
      </c>
      <c r="M389" s="106">
        <v>0.9</v>
      </c>
      <c r="N389" s="106">
        <f t="shared" si="336"/>
        <v>127.60326495000001</v>
      </c>
      <c r="O389" s="106">
        <f t="shared" si="337"/>
        <v>228.62251636875001</v>
      </c>
      <c r="P389" s="108"/>
    </row>
    <row r="390" spans="1:16" s="177" customFormat="1" x14ac:dyDescent="0.25">
      <c r="A390" s="109">
        <f>IF(G390&lt;&gt;"",1+MAX($A$13:A389),"")</f>
        <v>246</v>
      </c>
      <c r="B390" s="178" t="s">
        <v>381</v>
      </c>
      <c r="C390" s="178" t="s">
        <v>50</v>
      </c>
      <c r="D390" s="113" t="s">
        <v>70</v>
      </c>
      <c r="E390" s="112">
        <f>E384*4</f>
        <v>58.92</v>
      </c>
      <c r="F390" s="107">
        <f>VLOOKUP(H390,'PROJECT SUMMARY'!$C$26:$D$32,2,0)</f>
        <v>0.05</v>
      </c>
      <c r="G390" s="112">
        <f t="shared" ref="G390" si="338">E390*(1+F390)</f>
        <v>61.866000000000007</v>
      </c>
      <c r="H390" s="178" t="s">
        <v>11</v>
      </c>
      <c r="I390" s="110">
        <v>7.0000000000000001E-3</v>
      </c>
      <c r="J390" s="80">
        <f t="shared" si="334"/>
        <v>0.43306200000000006</v>
      </c>
      <c r="K390" s="106">
        <v>47.5</v>
      </c>
      <c r="L390" s="106">
        <f t="shared" si="335"/>
        <v>20.570445000000003</v>
      </c>
      <c r="M390" s="106">
        <v>0.15</v>
      </c>
      <c r="N390" s="106">
        <f t="shared" si="336"/>
        <v>9.2799000000000014</v>
      </c>
      <c r="O390" s="106">
        <f t="shared" si="337"/>
        <v>29.850345000000004</v>
      </c>
      <c r="P390" s="108"/>
    </row>
    <row r="391" spans="1:16" s="177" customFormat="1" ht="15" customHeight="1" x14ac:dyDescent="0.25">
      <c r="A391" s="109" t="str">
        <f>IF(G391&lt;&gt;"",1+MAX($A$13:A390),"")</f>
        <v/>
      </c>
      <c r="B391" s="178"/>
      <c r="C391" s="178"/>
      <c r="E391" s="112"/>
      <c r="F391" s="107"/>
      <c r="G391" s="112"/>
      <c r="H391" s="178"/>
      <c r="J391" s="80"/>
      <c r="K391" s="106"/>
      <c r="L391" s="106"/>
      <c r="M391" s="106"/>
      <c r="N391" s="106"/>
      <c r="O391" s="106"/>
      <c r="P391" s="108"/>
    </row>
    <row r="392" spans="1:16" s="177" customFormat="1" x14ac:dyDescent="0.25">
      <c r="A392" s="109" t="str">
        <f>IF(G392&lt;&gt;"",1+MAX($A$13:A391),"")</f>
        <v/>
      </c>
      <c r="B392" s="178"/>
      <c r="C392" s="178"/>
      <c r="D392" s="58" t="s">
        <v>370</v>
      </c>
      <c r="E392" s="79">
        <v>6.17</v>
      </c>
      <c r="F392" s="107"/>
      <c r="G392" s="112"/>
      <c r="H392" s="178" t="s">
        <v>11</v>
      </c>
      <c r="J392" s="80"/>
      <c r="K392" s="106"/>
      <c r="L392" s="106"/>
      <c r="M392" s="106"/>
      <c r="N392" s="106"/>
      <c r="O392" s="106"/>
      <c r="P392" s="108"/>
    </row>
    <row r="393" spans="1:16" s="177" customFormat="1" x14ac:dyDescent="0.25">
      <c r="A393" s="109">
        <f>IF(G393&lt;&gt;"",1+MAX($A$13:A392),"")</f>
        <v>247</v>
      </c>
      <c r="B393" s="178" t="s">
        <v>381</v>
      </c>
      <c r="C393" s="178" t="s">
        <v>50</v>
      </c>
      <c r="D393" s="113" t="s">
        <v>336</v>
      </c>
      <c r="E393" s="112">
        <f>E392*9.83/32</f>
        <v>1.895346875</v>
      </c>
      <c r="F393" s="107">
        <f>VLOOKUP(H393,'PROJECT SUMMARY'!$C$26:$D$32,2,0)</f>
        <v>0</v>
      </c>
      <c r="G393" s="112">
        <f t="shared" ref="G393:G396" si="339">E393*(1+F393)</f>
        <v>1.895346875</v>
      </c>
      <c r="H393" s="178" t="s">
        <v>10</v>
      </c>
      <c r="I393" s="110">
        <v>0.35</v>
      </c>
      <c r="J393" s="80">
        <f t="shared" ref="J393" si="340">I393*G393</f>
        <v>0.66337140624999991</v>
      </c>
      <c r="K393" s="106">
        <v>47.5</v>
      </c>
      <c r="L393" s="106">
        <f t="shared" ref="L393" si="341">K393*J393</f>
        <v>31.510141796874997</v>
      </c>
      <c r="M393" s="106">
        <v>9.6</v>
      </c>
      <c r="N393" s="106">
        <f t="shared" ref="N393" si="342">M393*G393</f>
        <v>18.195329999999998</v>
      </c>
      <c r="O393" s="106">
        <f t="shared" ref="O393" si="343">L393+N393</f>
        <v>49.705471796874996</v>
      </c>
      <c r="P393" s="108"/>
    </row>
    <row r="394" spans="1:16" s="177" customFormat="1" x14ac:dyDescent="0.25">
      <c r="A394" s="109">
        <f>IF(G394&lt;&gt;"",1+MAX($A$13:A393),"")</f>
        <v>248</v>
      </c>
      <c r="B394" s="178" t="s">
        <v>381</v>
      </c>
      <c r="C394" s="178" t="s">
        <v>50</v>
      </c>
      <c r="D394" s="113" t="s">
        <v>346</v>
      </c>
      <c r="E394" s="112">
        <f>E392*9.83/32</f>
        <v>1.895346875</v>
      </c>
      <c r="F394" s="107">
        <f>VLOOKUP(H394,'PROJECT SUMMARY'!$C$26:$D$32,2,0)</f>
        <v>0</v>
      </c>
      <c r="G394" s="112">
        <f t="shared" si="339"/>
        <v>1.895346875</v>
      </c>
      <c r="H394" s="178" t="s">
        <v>10</v>
      </c>
      <c r="I394" s="110">
        <v>0.35</v>
      </c>
      <c r="J394" s="80">
        <f t="shared" ref="J393:J398" si="344">I394*G394</f>
        <v>0.66337140624999991</v>
      </c>
      <c r="K394" s="106">
        <v>47.5</v>
      </c>
      <c r="L394" s="106">
        <f t="shared" ref="L393:L398" si="345">K394*J394</f>
        <v>31.510141796874997</v>
      </c>
      <c r="M394" s="106">
        <v>11</v>
      </c>
      <c r="N394" s="106">
        <f t="shared" ref="N393:N398" si="346">M394*G394</f>
        <v>20.848815625</v>
      </c>
      <c r="O394" s="106">
        <f t="shared" ref="O393:O398" si="347">L394+N394</f>
        <v>52.358957421874997</v>
      </c>
      <c r="P394" s="108"/>
    </row>
    <row r="395" spans="1:16" s="177" customFormat="1" x14ac:dyDescent="0.25">
      <c r="A395" s="109">
        <f>IF(G395&lt;&gt;"",1+MAX($A$13:A394),"")</f>
        <v>249</v>
      </c>
      <c r="B395" s="178" t="s">
        <v>381</v>
      </c>
      <c r="C395" s="178" t="s">
        <v>50</v>
      </c>
      <c r="D395" s="113" t="s">
        <v>340</v>
      </c>
      <c r="E395" s="112">
        <f>E392/1.33</f>
        <v>4.6390977443609023</v>
      </c>
      <c r="F395" s="107">
        <f>VLOOKUP(H395,'PROJECT SUMMARY'!$C$26:$D$32,2,0)</f>
        <v>0</v>
      </c>
      <c r="G395" s="112">
        <f t="shared" si="339"/>
        <v>4.6390977443609023</v>
      </c>
      <c r="H395" s="178" t="s">
        <v>10</v>
      </c>
      <c r="I395" s="110">
        <v>0.48</v>
      </c>
      <c r="J395" s="80">
        <f t="shared" si="344"/>
        <v>2.226766917293233</v>
      </c>
      <c r="K395" s="106">
        <v>47.5</v>
      </c>
      <c r="L395" s="106">
        <f t="shared" si="345"/>
        <v>105.77142857142857</v>
      </c>
      <c r="M395" s="106">
        <v>22.200000000000003</v>
      </c>
      <c r="N395" s="106">
        <f t="shared" si="346"/>
        <v>102.98796992481205</v>
      </c>
      <c r="O395" s="106">
        <f t="shared" si="347"/>
        <v>208.75939849624064</v>
      </c>
      <c r="P395" s="108"/>
    </row>
    <row r="396" spans="1:16" s="177" customFormat="1" x14ac:dyDescent="0.25">
      <c r="A396" s="109">
        <f>IF(G396&lt;&gt;"",1+MAX($A$13:A395),"")</f>
        <v>250</v>
      </c>
      <c r="B396" s="178" t="s">
        <v>381</v>
      </c>
      <c r="C396" s="178" t="s">
        <v>50</v>
      </c>
      <c r="D396" s="113" t="s">
        <v>338</v>
      </c>
      <c r="E396" s="112">
        <f>E392*3</f>
        <v>18.509999999999998</v>
      </c>
      <c r="F396" s="107">
        <f>VLOOKUP(H396,'PROJECT SUMMARY'!$C$26:$D$32,2,0)</f>
        <v>0.05</v>
      </c>
      <c r="G396" s="112">
        <f t="shared" si="339"/>
        <v>19.435499999999998</v>
      </c>
      <c r="H396" s="178" t="s">
        <v>11</v>
      </c>
      <c r="I396" s="110">
        <v>0.04</v>
      </c>
      <c r="J396" s="80">
        <f t="shared" si="344"/>
        <v>0.77741999999999989</v>
      </c>
      <c r="K396" s="106">
        <v>47.5</v>
      </c>
      <c r="L396" s="106">
        <f t="shared" si="345"/>
        <v>36.927449999999993</v>
      </c>
      <c r="M396" s="106">
        <v>1.85</v>
      </c>
      <c r="N396" s="106">
        <f t="shared" si="346"/>
        <v>35.955674999999999</v>
      </c>
      <c r="O396" s="106">
        <f t="shared" si="347"/>
        <v>72.883124999999993</v>
      </c>
      <c r="P396" s="108"/>
    </row>
    <row r="397" spans="1:16" s="177" customFormat="1" x14ac:dyDescent="0.25">
      <c r="A397" s="109">
        <f>IF(G397&lt;&gt;"",1+MAX($A$13:A396),"")</f>
        <v>251</v>
      </c>
      <c r="B397" s="178" t="s">
        <v>381</v>
      </c>
      <c r="C397" s="178" t="s">
        <v>50</v>
      </c>
      <c r="D397" s="113" t="s">
        <v>344</v>
      </c>
      <c r="E397" s="112">
        <f>E392*9.83</f>
        <v>60.6511</v>
      </c>
      <c r="F397" s="107">
        <f>VLOOKUP(H397,'PROJECT SUMMARY'!$C$26:$D$32,2,0)</f>
        <v>0.05</v>
      </c>
      <c r="G397" s="112">
        <f>E397*(1+F397)</f>
        <v>63.683655000000002</v>
      </c>
      <c r="H397" s="178" t="s">
        <v>12</v>
      </c>
      <c r="I397" s="110">
        <v>1.4999999999999999E-2</v>
      </c>
      <c r="J397" s="80">
        <f t="shared" si="344"/>
        <v>0.95525482500000003</v>
      </c>
      <c r="K397" s="106">
        <v>47.5</v>
      </c>
      <c r="L397" s="106">
        <f t="shared" si="345"/>
        <v>45.374604187500005</v>
      </c>
      <c r="M397" s="106">
        <v>0.9</v>
      </c>
      <c r="N397" s="106">
        <f t="shared" si="346"/>
        <v>57.315289500000006</v>
      </c>
      <c r="O397" s="106">
        <f t="shared" si="347"/>
        <v>102.68989368750002</v>
      </c>
      <c r="P397" s="108"/>
    </row>
    <row r="398" spans="1:16" s="177" customFormat="1" x14ac:dyDescent="0.25">
      <c r="A398" s="109">
        <f>IF(G398&lt;&gt;"",1+MAX($A$13:A397),"")</f>
        <v>252</v>
      </c>
      <c r="B398" s="178" t="s">
        <v>381</v>
      </c>
      <c r="C398" s="178" t="s">
        <v>50</v>
      </c>
      <c r="D398" s="113" t="s">
        <v>70</v>
      </c>
      <c r="E398" s="112">
        <f>E392*4</f>
        <v>24.68</v>
      </c>
      <c r="F398" s="107">
        <f>VLOOKUP(H398,'PROJECT SUMMARY'!$C$26:$D$32,2,0)</f>
        <v>0.05</v>
      </c>
      <c r="G398" s="112">
        <f t="shared" ref="G398" si="348">E398*(1+F398)</f>
        <v>25.914000000000001</v>
      </c>
      <c r="H398" s="178" t="s">
        <v>11</v>
      </c>
      <c r="I398" s="110">
        <v>7.0000000000000001E-3</v>
      </c>
      <c r="J398" s="80">
        <f t="shared" si="344"/>
        <v>0.181398</v>
      </c>
      <c r="K398" s="106">
        <v>47.5</v>
      </c>
      <c r="L398" s="106">
        <f t="shared" si="345"/>
        <v>8.6164050000000003</v>
      </c>
      <c r="M398" s="106">
        <v>0.15</v>
      </c>
      <c r="N398" s="106">
        <f t="shared" si="346"/>
        <v>3.8871000000000002</v>
      </c>
      <c r="O398" s="106">
        <f t="shared" si="347"/>
        <v>12.503505000000001</v>
      </c>
      <c r="P398" s="108"/>
    </row>
    <row r="399" spans="1:16" s="177" customFormat="1" ht="15" customHeight="1" x14ac:dyDescent="0.25">
      <c r="A399" s="109" t="str">
        <f>IF(G399&lt;&gt;"",1+MAX($A$13:A398),"")</f>
        <v/>
      </c>
      <c r="B399" s="178"/>
      <c r="C399" s="178"/>
      <c r="E399" s="112"/>
      <c r="F399" s="107"/>
      <c r="G399" s="112"/>
      <c r="H399" s="178"/>
      <c r="J399" s="80"/>
      <c r="K399" s="106"/>
      <c r="L399" s="106"/>
      <c r="M399" s="106"/>
      <c r="N399" s="106"/>
      <c r="O399" s="106"/>
      <c r="P399" s="108"/>
    </row>
    <row r="400" spans="1:16" s="177" customFormat="1" x14ac:dyDescent="0.25">
      <c r="A400" s="109" t="str">
        <f>IF(G400&lt;&gt;"",1+MAX($A$13:A399),"")</f>
        <v/>
      </c>
      <c r="B400" s="178"/>
      <c r="C400" s="178"/>
      <c r="D400" s="58" t="s">
        <v>367</v>
      </c>
      <c r="E400" s="79">
        <v>58.76</v>
      </c>
      <c r="F400" s="107"/>
      <c r="G400" s="112"/>
      <c r="H400" s="178" t="s">
        <v>11</v>
      </c>
      <c r="J400" s="80"/>
      <c r="K400" s="106"/>
      <c r="L400" s="106"/>
      <c r="M400" s="106"/>
      <c r="N400" s="106"/>
      <c r="O400" s="106"/>
      <c r="P400" s="108"/>
    </row>
    <row r="401" spans="1:16" s="177" customFormat="1" x14ac:dyDescent="0.25">
      <c r="A401" s="109">
        <f>IF(G401&lt;&gt;"",1+MAX($A$13:A400),"")</f>
        <v>253</v>
      </c>
      <c r="B401" s="178" t="s">
        <v>381</v>
      </c>
      <c r="C401" s="178" t="s">
        <v>50</v>
      </c>
      <c r="D401" s="113" t="s">
        <v>336</v>
      </c>
      <c r="E401" s="112">
        <f>E400*10.167*2/32</f>
        <v>37.338307499999999</v>
      </c>
      <c r="F401" s="107">
        <f>VLOOKUP(H401,'PROJECT SUMMARY'!$C$26:$D$32,2,0)</f>
        <v>0</v>
      </c>
      <c r="G401" s="112">
        <f t="shared" ref="G401:G403" si="349">E401*(1+F401)</f>
        <v>37.338307499999999</v>
      </c>
      <c r="H401" s="178" t="s">
        <v>10</v>
      </c>
      <c r="I401" s="110">
        <v>0.35</v>
      </c>
      <c r="J401" s="80">
        <f t="shared" ref="J401:J402" si="350">I401*G401</f>
        <v>13.068407624999999</v>
      </c>
      <c r="K401" s="106">
        <v>47.5</v>
      </c>
      <c r="L401" s="106">
        <f t="shared" ref="L401:L402" si="351">K401*J401</f>
        <v>620.74936218749997</v>
      </c>
      <c r="M401" s="106">
        <v>9.6</v>
      </c>
      <c r="N401" s="106">
        <f t="shared" ref="N401:N402" si="352">M401*G401</f>
        <v>358.44775199999998</v>
      </c>
      <c r="O401" s="106">
        <f t="shared" ref="O401:O402" si="353">L401+N401</f>
        <v>979.19711418749989</v>
      </c>
      <c r="P401" s="108"/>
    </row>
    <row r="402" spans="1:16" s="177" customFormat="1" x14ac:dyDescent="0.25">
      <c r="A402" s="109">
        <f>IF(G402&lt;&gt;"",1+MAX($A$13:A401),"")</f>
        <v>254</v>
      </c>
      <c r="B402" s="178" t="s">
        <v>381</v>
      </c>
      <c r="C402" s="178" t="s">
        <v>50</v>
      </c>
      <c r="D402" s="113" t="s">
        <v>340</v>
      </c>
      <c r="E402" s="112">
        <f>E400/1.33</f>
        <v>44.180451127819545</v>
      </c>
      <c r="F402" s="107">
        <f>VLOOKUP(H402,'PROJECT SUMMARY'!$C$26:$D$32,2,0)</f>
        <v>0</v>
      </c>
      <c r="G402" s="112">
        <f t="shared" si="349"/>
        <v>44.180451127819545</v>
      </c>
      <c r="H402" s="178" t="s">
        <v>10</v>
      </c>
      <c r="I402" s="110">
        <v>0.48</v>
      </c>
      <c r="J402" s="80">
        <f t="shared" si="350"/>
        <v>21.20661654135338</v>
      </c>
      <c r="K402" s="106">
        <v>47.5</v>
      </c>
      <c r="L402" s="106">
        <f t="shared" si="351"/>
        <v>1007.3142857142856</v>
      </c>
      <c r="M402" s="106">
        <v>22.200000000000003</v>
      </c>
      <c r="N402" s="106">
        <f t="shared" si="352"/>
        <v>980.80601503759397</v>
      </c>
      <c r="O402" s="106">
        <f t="shared" si="353"/>
        <v>1988.1203007518795</v>
      </c>
      <c r="P402" s="108"/>
    </row>
    <row r="403" spans="1:16" s="177" customFormat="1" x14ac:dyDescent="0.25">
      <c r="A403" s="109">
        <f>IF(G403&lt;&gt;"",1+MAX($A$13:A402),"")</f>
        <v>255</v>
      </c>
      <c r="B403" s="178" t="s">
        <v>381</v>
      </c>
      <c r="C403" s="178" t="s">
        <v>50</v>
      </c>
      <c r="D403" s="113" t="s">
        <v>338</v>
      </c>
      <c r="E403" s="112">
        <f>E400*3</f>
        <v>176.28</v>
      </c>
      <c r="F403" s="107">
        <f>VLOOKUP(H403,'PROJECT SUMMARY'!$C$26:$D$32,2,0)</f>
        <v>0.05</v>
      </c>
      <c r="G403" s="112">
        <f t="shared" si="349"/>
        <v>185.09400000000002</v>
      </c>
      <c r="H403" s="178" t="s">
        <v>11</v>
      </c>
      <c r="I403" s="110">
        <v>0.04</v>
      </c>
      <c r="J403" s="80">
        <f t="shared" ref="J401:J405" si="354">I403*G403</f>
        <v>7.403760000000001</v>
      </c>
      <c r="K403" s="106">
        <v>47.5</v>
      </c>
      <c r="L403" s="106">
        <f t="shared" ref="L401:L405" si="355">K403*J403</f>
        <v>351.67860000000007</v>
      </c>
      <c r="M403" s="106">
        <v>1.85</v>
      </c>
      <c r="N403" s="106">
        <f t="shared" ref="N401:N405" si="356">M403*G403</f>
        <v>342.42390000000006</v>
      </c>
      <c r="O403" s="106">
        <f t="shared" ref="O401:O405" si="357">L403+N403</f>
        <v>694.10250000000019</v>
      </c>
      <c r="P403" s="108"/>
    </row>
    <row r="404" spans="1:16" s="177" customFormat="1" x14ac:dyDescent="0.25">
      <c r="A404" s="109">
        <f>IF(G404&lt;&gt;"",1+MAX($A$13:A403),"")</f>
        <v>256</v>
      </c>
      <c r="B404" s="178" t="s">
        <v>381</v>
      </c>
      <c r="C404" s="178" t="s">
        <v>50</v>
      </c>
      <c r="D404" s="113" t="s">
        <v>344</v>
      </c>
      <c r="E404" s="112">
        <f>E400*10.167</f>
        <v>597.41291999999999</v>
      </c>
      <c r="F404" s="107">
        <f>VLOOKUP(H404,'PROJECT SUMMARY'!$C$26:$D$32,2,0)</f>
        <v>0.05</v>
      </c>
      <c r="G404" s="112">
        <f>E404*(1+F404)</f>
        <v>627.28356600000006</v>
      </c>
      <c r="H404" s="178" t="s">
        <v>12</v>
      </c>
      <c r="I404" s="110">
        <v>1.4999999999999999E-2</v>
      </c>
      <c r="J404" s="80">
        <f t="shared" si="354"/>
        <v>9.4092534900000011</v>
      </c>
      <c r="K404" s="106">
        <v>47.5</v>
      </c>
      <c r="L404" s="106">
        <f t="shared" si="355"/>
        <v>446.93954077500007</v>
      </c>
      <c r="M404" s="106">
        <v>0.9</v>
      </c>
      <c r="N404" s="106">
        <f t="shared" si="356"/>
        <v>564.55520940000008</v>
      </c>
      <c r="O404" s="106">
        <f t="shared" si="357"/>
        <v>1011.4947501750001</v>
      </c>
      <c r="P404" s="108"/>
    </row>
    <row r="405" spans="1:16" s="177" customFormat="1" x14ac:dyDescent="0.25">
      <c r="A405" s="109">
        <f>IF(G405&lt;&gt;"",1+MAX($A$13:A404),"")</f>
        <v>257</v>
      </c>
      <c r="B405" s="178" t="s">
        <v>381</v>
      </c>
      <c r="C405" s="178" t="s">
        <v>50</v>
      </c>
      <c r="D405" s="113" t="s">
        <v>70</v>
      </c>
      <c r="E405" s="112">
        <f>E400*4</f>
        <v>235.04</v>
      </c>
      <c r="F405" s="107">
        <f>VLOOKUP(H405,'PROJECT SUMMARY'!$C$26:$D$32,2,0)</f>
        <v>0.05</v>
      </c>
      <c r="G405" s="112">
        <f t="shared" ref="G405" si="358">E405*(1+F405)</f>
        <v>246.792</v>
      </c>
      <c r="H405" s="178" t="s">
        <v>11</v>
      </c>
      <c r="I405" s="110">
        <v>7.0000000000000001E-3</v>
      </c>
      <c r="J405" s="80">
        <f t="shared" si="354"/>
        <v>1.727544</v>
      </c>
      <c r="K405" s="106">
        <v>47.5</v>
      </c>
      <c r="L405" s="106">
        <f t="shared" si="355"/>
        <v>82.058340000000001</v>
      </c>
      <c r="M405" s="106">
        <v>0.15</v>
      </c>
      <c r="N405" s="106">
        <f t="shared" si="356"/>
        <v>37.018799999999999</v>
      </c>
      <c r="O405" s="106">
        <f t="shared" si="357"/>
        <v>119.07714</v>
      </c>
      <c r="P405" s="108"/>
    </row>
    <row r="406" spans="1:16" s="177" customFormat="1" ht="15" customHeight="1" x14ac:dyDescent="0.25">
      <c r="A406" s="109" t="str">
        <f>IF(G406&lt;&gt;"",1+MAX($A$13:A405),"")</f>
        <v/>
      </c>
      <c r="B406" s="178"/>
      <c r="C406" s="178"/>
      <c r="E406" s="112"/>
      <c r="F406" s="107"/>
      <c r="G406" s="112"/>
      <c r="H406" s="178"/>
      <c r="J406" s="80"/>
      <c r="K406" s="106"/>
      <c r="L406" s="106"/>
      <c r="M406" s="106"/>
      <c r="N406" s="106"/>
      <c r="O406" s="106"/>
      <c r="P406" s="108"/>
    </row>
    <row r="407" spans="1:16" s="177" customFormat="1" x14ac:dyDescent="0.25">
      <c r="A407" s="109" t="str">
        <f>IF(G407&lt;&gt;"",1+MAX($A$13:A406),"")</f>
        <v/>
      </c>
      <c r="B407" s="178"/>
      <c r="C407" s="178"/>
      <c r="D407" s="58" t="s">
        <v>367</v>
      </c>
      <c r="E407" s="79">
        <v>10.62</v>
      </c>
      <c r="F407" s="107"/>
      <c r="G407" s="112"/>
      <c r="H407" s="178" t="s">
        <v>11</v>
      </c>
      <c r="J407" s="80"/>
      <c r="K407" s="106"/>
      <c r="L407" s="106"/>
      <c r="M407" s="106"/>
      <c r="N407" s="106"/>
      <c r="O407" s="106"/>
      <c r="P407" s="108"/>
    </row>
    <row r="408" spans="1:16" s="177" customFormat="1" x14ac:dyDescent="0.25">
      <c r="A408" s="109">
        <f>IF(G408&lt;&gt;"",1+MAX($A$13:A407),"")</f>
        <v>258</v>
      </c>
      <c r="B408" s="178" t="s">
        <v>381</v>
      </c>
      <c r="C408" s="178" t="s">
        <v>50</v>
      </c>
      <c r="D408" s="113" t="s">
        <v>336</v>
      </c>
      <c r="E408" s="112">
        <f>E407*10.167/32</f>
        <v>3.3741731249999996</v>
      </c>
      <c r="F408" s="107">
        <f>VLOOKUP(H408,'PROJECT SUMMARY'!$C$26:$D$32,2,0)</f>
        <v>0</v>
      </c>
      <c r="G408" s="112">
        <f t="shared" ref="G408:G411" si="359">E408*(1+F408)</f>
        <v>3.3741731249999996</v>
      </c>
      <c r="H408" s="178" t="s">
        <v>10</v>
      </c>
      <c r="I408" s="110">
        <v>0.35</v>
      </c>
      <c r="J408" s="80">
        <f t="shared" ref="J408" si="360">I408*G408</f>
        <v>1.1809605937499998</v>
      </c>
      <c r="K408" s="106">
        <v>47.5</v>
      </c>
      <c r="L408" s="106">
        <f t="shared" ref="L408" si="361">K408*J408</f>
        <v>56.095628203124996</v>
      </c>
      <c r="M408" s="106">
        <v>9.6</v>
      </c>
      <c r="N408" s="106">
        <f t="shared" ref="N408" si="362">M408*G408</f>
        <v>32.392061999999996</v>
      </c>
      <c r="O408" s="106">
        <f t="shared" ref="O408" si="363">L408+N408</f>
        <v>88.487690203124998</v>
      </c>
      <c r="P408" s="108"/>
    </row>
    <row r="409" spans="1:16" s="177" customFormat="1" x14ac:dyDescent="0.25">
      <c r="A409" s="109">
        <f>IF(G409&lt;&gt;"",1+MAX($A$13:A408),"")</f>
        <v>259</v>
      </c>
      <c r="B409" s="178" t="s">
        <v>381</v>
      </c>
      <c r="C409" s="178" t="s">
        <v>50</v>
      </c>
      <c r="D409" s="113" t="s">
        <v>346</v>
      </c>
      <c r="E409" s="112">
        <f>E407*10.167/32</f>
        <v>3.3741731249999996</v>
      </c>
      <c r="F409" s="107">
        <f>VLOOKUP(H409,'PROJECT SUMMARY'!$C$26:$D$32,2,0)</f>
        <v>0</v>
      </c>
      <c r="G409" s="112">
        <f t="shared" si="359"/>
        <v>3.3741731249999996</v>
      </c>
      <c r="H409" s="178" t="s">
        <v>10</v>
      </c>
      <c r="I409" s="110">
        <v>0.35</v>
      </c>
      <c r="J409" s="80">
        <f t="shared" ref="J408:J413" si="364">I409*G409</f>
        <v>1.1809605937499998</v>
      </c>
      <c r="K409" s="106">
        <v>47.5</v>
      </c>
      <c r="L409" s="106">
        <f t="shared" ref="L408:L413" si="365">K409*J409</f>
        <v>56.095628203124996</v>
      </c>
      <c r="M409" s="106">
        <v>11</v>
      </c>
      <c r="N409" s="106">
        <f t="shared" ref="N408:N413" si="366">M409*G409</f>
        <v>37.115904374999992</v>
      </c>
      <c r="O409" s="106">
        <f t="shared" ref="O408:O413" si="367">L409+N409</f>
        <v>93.211532578124988</v>
      </c>
      <c r="P409" s="108"/>
    </row>
    <row r="410" spans="1:16" s="177" customFormat="1" x14ac:dyDescent="0.25">
      <c r="A410" s="109">
        <f>IF(G410&lt;&gt;"",1+MAX($A$13:A409),"")</f>
        <v>260</v>
      </c>
      <c r="B410" s="178" t="s">
        <v>381</v>
      </c>
      <c r="C410" s="178" t="s">
        <v>50</v>
      </c>
      <c r="D410" s="113" t="s">
        <v>340</v>
      </c>
      <c r="E410" s="112">
        <f>E407/1.33</f>
        <v>7.9849624060150362</v>
      </c>
      <c r="F410" s="107">
        <f>VLOOKUP(H410,'PROJECT SUMMARY'!$C$26:$D$32,2,0)</f>
        <v>0</v>
      </c>
      <c r="G410" s="112">
        <f t="shared" si="359"/>
        <v>7.9849624060150362</v>
      </c>
      <c r="H410" s="178" t="s">
        <v>10</v>
      </c>
      <c r="I410" s="110">
        <v>0.48</v>
      </c>
      <c r="J410" s="80">
        <f t="shared" si="364"/>
        <v>3.8327819548872171</v>
      </c>
      <c r="K410" s="106">
        <v>47.5</v>
      </c>
      <c r="L410" s="106">
        <f t="shared" si="365"/>
        <v>182.05714285714282</v>
      </c>
      <c r="M410" s="106">
        <v>22.200000000000003</v>
      </c>
      <c r="N410" s="106">
        <f t="shared" si="366"/>
        <v>177.26616541353383</v>
      </c>
      <c r="O410" s="106">
        <f t="shared" si="367"/>
        <v>359.32330827067665</v>
      </c>
      <c r="P410" s="108"/>
    </row>
    <row r="411" spans="1:16" s="177" customFormat="1" x14ac:dyDescent="0.25">
      <c r="A411" s="109">
        <f>IF(G411&lt;&gt;"",1+MAX($A$13:A410),"")</f>
        <v>261</v>
      </c>
      <c r="B411" s="178" t="s">
        <v>381</v>
      </c>
      <c r="C411" s="178" t="s">
        <v>50</v>
      </c>
      <c r="D411" s="113" t="s">
        <v>338</v>
      </c>
      <c r="E411" s="112">
        <f>E407*3</f>
        <v>31.86</v>
      </c>
      <c r="F411" s="107">
        <f>VLOOKUP(H411,'PROJECT SUMMARY'!$C$26:$D$32,2,0)</f>
        <v>0.05</v>
      </c>
      <c r="G411" s="112">
        <f t="shared" si="359"/>
        <v>33.453000000000003</v>
      </c>
      <c r="H411" s="178" t="s">
        <v>11</v>
      </c>
      <c r="I411" s="110">
        <v>0.04</v>
      </c>
      <c r="J411" s="80">
        <f t="shared" si="364"/>
        <v>1.3381200000000002</v>
      </c>
      <c r="K411" s="106">
        <v>47.5</v>
      </c>
      <c r="L411" s="106">
        <f t="shared" si="365"/>
        <v>63.560700000000011</v>
      </c>
      <c r="M411" s="106">
        <v>1.85</v>
      </c>
      <c r="N411" s="106">
        <f t="shared" si="366"/>
        <v>61.888050000000007</v>
      </c>
      <c r="O411" s="106">
        <f t="shared" si="367"/>
        <v>125.44875000000002</v>
      </c>
      <c r="P411" s="108"/>
    </row>
    <row r="412" spans="1:16" s="177" customFormat="1" x14ac:dyDescent="0.25">
      <c r="A412" s="109">
        <f>IF(G412&lt;&gt;"",1+MAX($A$13:A411),"")</f>
        <v>262</v>
      </c>
      <c r="B412" s="178" t="s">
        <v>381</v>
      </c>
      <c r="C412" s="178" t="s">
        <v>50</v>
      </c>
      <c r="D412" s="113" t="s">
        <v>344</v>
      </c>
      <c r="E412" s="112">
        <f>E407*10.167</f>
        <v>107.97353999999999</v>
      </c>
      <c r="F412" s="107">
        <f>VLOOKUP(H412,'PROJECT SUMMARY'!$C$26:$D$32,2,0)</f>
        <v>0.05</v>
      </c>
      <c r="G412" s="112">
        <f>E412*(1+F412)</f>
        <v>113.37221699999999</v>
      </c>
      <c r="H412" s="178" t="s">
        <v>12</v>
      </c>
      <c r="I412" s="110">
        <v>1.4999999999999999E-2</v>
      </c>
      <c r="J412" s="80">
        <f t="shared" si="364"/>
        <v>1.7005832549999997</v>
      </c>
      <c r="K412" s="106">
        <v>47.5</v>
      </c>
      <c r="L412" s="106">
        <f t="shared" si="365"/>
        <v>80.777704612499988</v>
      </c>
      <c r="M412" s="106">
        <v>0.9</v>
      </c>
      <c r="N412" s="106">
        <f t="shared" si="366"/>
        <v>102.03499529999999</v>
      </c>
      <c r="O412" s="106">
        <f t="shared" si="367"/>
        <v>182.81269991249997</v>
      </c>
      <c r="P412" s="108"/>
    </row>
    <row r="413" spans="1:16" s="177" customFormat="1" x14ac:dyDescent="0.25">
      <c r="A413" s="109">
        <f>IF(G413&lt;&gt;"",1+MAX($A$13:A412),"")</f>
        <v>263</v>
      </c>
      <c r="B413" s="178" t="s">
        <v>381</v>
      </c>
      <c r="C413" s="178" t="s">
        <v>50</v>
      </c>
      <c r="D413" s="113" t="s">
        <v>70</v>
      </c>
      <c r="E413" s="112">
        <f>E407*4</f>
        <v>42.48</v>
      </c>
      <c r="F413" s="107">
        <f>VLOOKUP(H413,'PROJECT SUMMARY'!$C$26:$D$32,2,0)</f>
        <v>0.05</v>
      </c>
      <c r="G413" s="112">
        <f t="shared" ref="G413" si="368">E413*(1+F413)</f>
        <v>44.603999999999999</v>
      </c>
      <c r="H413" s="178" t="s">
        <v>11</v>
      </c>
      <c r="I413" s="110">
        <v>7.0000000000000001E-3</v>
      </c>
      <c r="J413" s="80">
        <f t="shared" si="364"/>
        <v>0.31222800000000001</v>
      </c>
      <c r="K413" s="106">
        <v>47.5</v>
      </c>
      <c r="L413" s="106">
        <f t="shared" si="365"/>
        <v>14.830830000000001</v>
      </c>
      <c r="M413" s="106">
        <v>0.15</v>
      </c>
      <c r="N413" s="106">
        <f t="shared" si="366"/>
        <v>6.6905999999999999</v>
      </c>
      <c r="O413" s="106">
        <f t="shared" si="367"/>
        <v>21.521430000000002</v>
      </c>
      <c r="P413" s="108"/>
    </row>
    <row r="414" spans="1:16" s="177" customFormat="1" ht="15" customHeight="1" x14ac:dyDescent="0.25">
      <c r="A414" s="109" t="str">
        <f>IF(G414&lt;&gt;"",1+MAX($A$13:A413),"")</f>
        <v/>
      </c>
      <c r="B414" s="178"/>
      <c r="C414" s="178"/>
      <c r="E414" s="112"/>
      <c r="F414" s="107"/>
      <c r="G414" s="112"/>
      <c r="H414" s="178"/>
      <c r="J414" s="80"/>
      <c r="K414" s="106"/>
      <c r="L414" s="106"/>
      <c r="M414" s="106"/>
      <c r="N414" s="106"/>
      <c r="O414" s="106"/>
      <c r="P414" s="108"/>
    </row>
    <row r="415" spans="1:16" s="177" customFormat="1" x14ac:dyDescent="0.25">
      <c r="A415" s="109" t="str">
        <f>IF(G415&lt;&gt;"",1+MAX($A$13:A414),"")</f>
        <v/>
      </c>
      <c r="B415" s="178"/>
      <c r="C415" s="178"/>
      <c r="D415" s="58" t="s">
        <v>371</v>
      </c>
      <c r="E415" s="79">
        <v>16.670000000000002</v>
      </c>
      <c r="F415" s="107"/>
      <c r="G415" s="112"/>
      <c r="H415" s="178" t="s">
        <v>11</v>
      </c>
      <c r="J415" s="80"/>
      <c r="K415" s="106"/>
      <c r="L415" s="106"/>
      <c r="M415" s="106"/>
      <c r="N415" s="106"/>
      <c r="O415" s="106"/>
      <c r="P415" s="108"/>
    </row>
    <row r="416" spans="1:16" s="177" customFormat="1" x14ac:dyDescent="0.25">
      <c r="A416" s="109">
        <f>IF(G416&lt;&gt;"",1+MAX($A$13:A415),"")</f>
        <v>264</v>
      </c>
      <c r="B416" s="178" t="s">
        <v>381</v>
      </c>
      <c r="C416" s="178" t="s">
        <v>50</v>
      </c>
      <c r="D416" s="113" t="s">
        <v>362</v>
      </c>
      <c r="E416" s="112">
        <f>E415*9*2/32</f>
        <v>9.3768750000000018</v>
      </c>
      <c r="F416" s="107">
        <f>VLOOKUP(H416,'PROJECT SUMMARY'!$C$26:$D$32,2,0)</f>
        <v>0</v>
      </c>
      <c r="G416" s="112">
        <f t="shared" ref="G416:G418" si="369">E416*(1+F416)</f>
        <v>9.3768750000000018</v>
      </c>
      <c r="H416" s="178" t="s">
        <v>10</v>
      </c>
      <c r="I416" s="110">
        <v>0.35</v>
      </c>
      <c r="J416" s="80">
        <f t="shared" ref="J416:J417" si="370">I416*G416</f>
        <v>3.2819062500000005</v>
      </c>
      <c r="K416" s="106">
        <v>47.5</v>
      </c>
      <c r="L416" s="106">
        <f t="shared" ref="L416:L417" si="371">K416*J416</f>
        <v>155.89054687500001</v>
      </c>
      <c r="M416" s="106">
        <v>9.6</v>
      </c>
      <c r="N416" s="106">
        <f t="shared" ref="N416:N417" si="372">M416*G416</f>
        <v>90.018000000000015</v>
      </c>
      <c r="O416" s="106">
        <f t="shared" ref="O416:O417" si="373">L416+N416</f>
        <v>245.90854687500001</v>
      </c>
      <c r="P416" s="108"/>
    </row>
    <row r="417" spans="1:16" s="177" customFormat="1" x14ac:dyDescent="0.25">
      <c r="A417" s="109">
        <f>IF(G417&lt;&gt;"",1+MAX($A$13:A416),"")</f>
        <v>265</v>
      </c>
      <c r="B417" s="178" t="s">
        <v>381</v>
      </c>
      <c r="C417" s="178" t="s">
        <v>50</v>
      </c>
      <c r="D417" s="113" t="s">
        <v>342</v>
      </c>
      <c r="E417" s="112">
        <f>E415/1.33</f>
        <v>12.533834586466167</v>
      </c>
      <c r="F417" s="107">
        <f>VLOOKUP(H417,'PROJECT SUMMARY'!$C$26:$D$32,2,0)</f>
        <v>0</v>
      </c>
      <c r="G417" s="112">
        <f t="shared" si="369"/>
        <v>12.533834586466167</v>
      </c>
      <c r="H417" s="178" t="s">
        <v>10</v>
      </c>
      <c r="I417" s="110">
        <v>0.42000000000000004</v>
      </c>
      <c r="J417" s="80">
        <f t="shared" si="370"/>
        <v>5.2642105263157903</v>
      </c>
      <c r="K417" s="106">
        <v>47.5</v>
      </c>
      <c r="L417" s="106">
        <f t="shared" si="371"/>
        <v>250.05000000000004</v>
      </c>
      <c r="M417" s="106">
        <v>18.600000000000001</v>
      </c>
      <c r="N417" s="106">
        <f t="shared" si="372"/>
        <v>233.12932330827073</v>
      </c>
      <c r="O417" s="106">
        <f t="shared" si="373"/>
        <v>483.1793233082708</v>
      </c>
      <c r="P417" s="108"/>
    </row>
    <row r="418" spans="1:16" s="177" customFormat="1" x14ac:dyDescent="0.25">
      <c r="A418" s="109">
        <f>IF(G418&lt;&gt;"",1+MAX($A$13:A417),"")</f>
        <v>266</v>
      </c>
      <c r="B418" s="178" t="s">
        <v>381</v>
      </c>
      <c r="C418" s="178" t="s">
        <v>50</v>
      </c>
      <c r="D418" s="113" t="s">
        <v>343</v>
      </c>
      <c r="E418" s="112">
        <f>E415*3</f>
        <v>50.010000000000005</v>
      </c>
      <c r="F418" s="107">
        <f>VLOOKUP(H418,'PROJECT SUMMARY'!$C$26:$D$32,2,0)</f>
        <v>0.05</v>
      </c>
      <c r="G418" s="112">
        <f t="shared" si="369"/>
        <v>52.510500000000008</v>
      </c>
      <c r="H418" s="178" t="s">
        <v>11</v>
      </c>
      <c r="I418" s="110">
        <v>3.5000000000000003E-2</v>
      </c>
      <c r="J418" s="80">
        <f t="shared" ref="J416:J419" si="374">I418*G418</f>
        <v>1.8378675000000004</v>
      </c>
      <c r="K418" s="106">
        <v>47.5</v>
      </c>
      <c r="L418" s="106">
        <f t="shared" ref="L416:L419" si="375">K418*J418</f>
        <v>87.298706250000023</v>
      </c>
      <c r="M418" s="106">
        <v>1.55</v>
      </c>
      <c r="N418" s="106">
        <f t="shared" ref="N416:N419" si="376">M418*G418</f>
        <v>81.391275000000007</v>
      </c>
      <c r="O418" s="106">
        <f t="shared" ref="O416:O419" si="377">L418+N418</f>
        <v>168.68998125000002</v>
      </c>
      <c r="P418" s="108"/>
    </row>
    <row r="419" spans="1:16" s="177" customFormat="1" x14ac:dyDescent="0.25">
      <c r="A419" s="109">
        <f>IF(G419&lt;&gt;"",1+MAX($A$13:A418),"")</f>
        <v>267</v>
      </c>
      <c r="B419" s="178" t="s">
        <v>381</v>
      </c>
      <c r="C419" s="178" t="s">
        <v>50</v>
      </c>
      <c r="D419" s="113" t="s">
        <v>70</v>
      </c>
      <c r="E419" s="112">
        <f>E415*4</f>
        <v>66.680000000000007</v>
      </c>
      <c r="F419" s="107">
        <f>VLOOKUP(H419,'PROJECT SUMMARY'!$C$26:$D$32,2,0)</f>
        <v>0.05</v>
      </c>
      <c r="G419" s="112">
        <f t="shared" ref="G419" si="378">E419*(1+F419)</f>
        <v>70.01400000000001</v>
      </c>
      <c r="H419" s="178" t="s">
        <v>11</v>
      </c>
      <c r="I419" s="110">
        <v>7.0000000000000001E-3</v>
      </c>
      <c r="J419" s="80">
        <f t="shared" si="374"/>
        <v>0.49009800000000009</v>
      </c>
      <c r="K419" s="106">
        <v>47.5</v>
      </c>
      <c r="L419" s="106">
        <f t="shared" si="375"/>
        <v>23.279655000000005</v>
      </c>
      <c r="M419" s="106">
        <v>0.15</v>
      </c>
      <c r="N419" s="106">
        <f t="shared" si="376"/>
        <v>10.5021</v>
      </c>
      <c r="O419" s="106">
        <f t="shared" si="377"/>
        <v>33.781755000000004</v>
      </c>
      <c r="P419" s="108"/>
    </row>
    <row r="420" spans="1:16" s="177" customFormat="1" ht="15" customHeight="1" x14ac:dyDescent="0.25">
      <c r="A420" s="109" t="str">
        <f>IF(G420&lt;&gt;"",1+MAX($A$13:A419),"")</f>
        <v/>
      </c>
      <c r="B420" s="178"/>
      <c r="C420" s="178"/>
      <c r="E420" s="112"/>
      <c r="F420" s="107"/>
      <c r="G420" s="112"/>
      <c r="H420" s="178"/>
      <c r="J420" s="80"/>
      <c r="K420" s="106"/>
      <c r="L420" s="106"/>
      <c r="M420" s="106"/>
      <c r="N420" s="106"/>
      <c r="O420" s="106"/>
      <c r="P420" s="108"/>
    </row>
    <row r="421" spans="1:16" s="177" customFormat="1" x14ac:dyDescent="0.25">
      <c r="A421" s="109" t="str">
        <f>IF(G421&lt;&gt;"",1+MAX($A$13:A420),"")</f>
        <v/>
      </c>
      <c r="B421" s="178"/>
      <c r="C421" s="178"/>
      <c r="D421" s="58" t="s">
        <v>372</v>
      </c>
      <c r="E421" s="79">
        <v>16.68</v>
      </c>
      <c r="F421" s="107"/>
      <c r="G421" s="112"/>
      <c r="H421" s="178" t="s">
        <v>11</v>
      </c>
      <c r="J421" s="80"/>
      <c r="K421" s="106"/>
      <c r="L421" s="106"/>
      <c r="M421" s="106"/>
      <c r="N421" s="106"/>
      <c r="O421" s="106"/>
      <c r="P421" s="108"/>
    </row>
    <row r="422" spans="1:16" s="177" customFormat="1" x14ac:dyDescent="0.25">
      <c r="A422" s="109">
        <f>IF(G422&lt;&gt;"",1+MAX($A$13:A421),"")</f>
        <v>268</v>
      </c>
      <c r="B422" s="178" t="s">
        <v>381</v>
      </c>
      <c r="C422" s="178" t="s">
        <v>50</v>
      </c>
      <c r="D422" s="113" t="s">
        <v>362</v>
      </c>
      <c r="E422" s="112">
        <f>E421*9.83*2/32</f>
        <v>10.247775000000001</v>
      </c>
      <c r="F422" s="107">
        <f>VLOOKUP(H422,'PROJECT SUMMARY'!$C$26:$D$32,2,0)</f>
        <v>0</v>
      </c>
      <c r="G422" s="112">
        <f t="shared" ref="G422:G424" si="379">E422*(1+F422)</f>
        <v>10.247775000000001</v>
      </c>
      <c r="H422" s="178" t="s">
        <v>10</v>
      </c>
      <c r="I422" s="110">
        <v>0.35</v>
      </c>
      <c r="J422" s="80">
        <f t="shared" ref="J422:J423" si="380">I422*G422</f>
        <v>3.5867212500000001</v>
      </c>
      <c r="K422" s="106">
        <v>47.5</v>
      </c>
      <c r="L422" s="106">
        <f t="shared" ref="L422:L423" si="381">K422*J422</f>
        <v>170.36925937500001</v>
      </c>
      <c r="M422" s="106">
        <v>9.6</v>
      </c>
      <c r="N422" s="106">
        <f t="shared" ref="N422:N423" si="382">M422*G422</f>
        <v>98.378640000000004</v>
      </c>
      <c r="O422" s="106">
        <f t="shared" ref="O422:O423" si="383">L422+N422</f>
        <v>268.74789937500003</v>
      </c>
      <c r="P422" s="108"/>
    </row>
    <row r="423" spans="1:16" s="177" customFormat="1" x14ac:dyDescent="0.25">
      <c r="A423" s="109">
        <f>IF(G423&lt;&gt;"",1+MAX($A$13:A422),"")</f>
        <v>269</v>
      </c>
      <c r="B423" s="178" t="s">
        <v>381</v>
      </c>
      <c r="C423" s="178" t="s">
        <v>50</v>
      </c>
      <c r="D423" s="113" t="s">
        <v>342</v>
      </c>
      <c r="E423" s="112">
        <f>E421/1.33</f>
        <v>12.541353383458645</v>
      </c>
      <c r="F423" s="107">
        <f>VLOOKUP(H423,'PROJECT SUMMARY'!$C$26:$D$32,2,0)</f>
        <v>0</v>
      </c>
      <c r="G423" s="112">
        <f t="shared" si="379"/>
        <v>12.541353383458645</v>
      </c>
      <c r="H423" s="178" t="s">
        <v>10</v>
      </c>
      <c r="I423" s="110">
        <v>0.42000000000000004</v>
      </c>
      <c r="J423" s="80">
        <f t="shared" si="380"/>
        <v>5.2673684210526313</v>
      </c>
      <c r="K423" s="106">
        <v>47.5</v>
      </c>
      <c r="L423" s="106">
        <f t="shared" si="381"/>
        <v>250.2</v>
      </c>
      <c r="M423" s="106">
        <v>18.600000000000001</v>
      </c>
      <c r="N423" s="106">
        <f t="shared" si="382"/>
        <v>233.26917293233083</v>
      </c>
      <c r="O423" s="106">
        <f t="shared" si="383"/>
        <v>483.46917293233082</v>
      </c>
      <c r="P423" s="108"/>
    </row>
    <row r="424" spans="1:16" s="177" customFormat="1" x14ac:dyDescent="0.25">
      <c r="A424" s="109">
        <f>IF(G424&lt;&gt;"",1+MAX($A$13:A423),"")</f>
        <v>270</v>
      </c>
      <c r="B424" s="178" t="s">
        <v>381</v>
      </c>
      <c r="C424" s="178" t="s">
        <v>50</v>
      </c>
      <c r="D424" s="113" t="s">
        <v>343</v>
      </c>
      <c r="E424" s="112">
        <f>E421*3</f>
        <v>50.04</v>
      </c>
      <c r="F424" s="107">
        <f>VLOOKUP(H424,'PROJECT SUMMARY'!$C$26:$D$32,2,0)</f>
        <v>0.05</v>
      </c>
      <c r="G424" s="112">
        <f t="shared" si="379"/>
        <v>52.542000000000002</v>
      </c>
      <c r="H424" s="178" t="s">
        <v>11</v>
      </c>
      <c r="I424" s="110">
        <v>3.5000000000000003E-2</v>
      </c>
      <c r="J424" s="80">
        <f t="shared" ref="J422:J425" si="384">I424*G424</f>
        <v>1.8389700000000002</v>
      </c>
      <c r="K424" s="106">
        <v>47.5</v>
      </c>
      <c r="L424" s="106">
        <f t="shared" ref="L422:L425" si="385">K424*J424</f>
        <v>87.351075000000009</v>
      </c>
      <c r="M424" s="106">
        <v>1.55</v>
      </c>
      <c r="N424" s="106">
        <f t="shared" ref="N422:N425" si="386">M424*G424</f>
        <v>81.440100000000001</v>
      </c>
      <c r="O424" s="106">
        <f t="shared" ref="O422:O425" si="387">L424+N424</f>
        <v>168.79117500000001</v>
      </c>
      <c r="P424" s="108"/>
    </row>
    <row r="425" spans="1:16" s="177" customFormat="1" x14ac:dyDescent="0.25">
      <c r="A425" s="109">
        <f>IF(G425&lt;&gt;"",1+MAX($A$13:A424),"")</f>
        <v>271</v>
      </c>
      <c r="B425" s="178" t="s">
        <v>381</v>
      </c>
      <c r="C425" s="178" t="s">
        <v>50</v>
      </c>
      <c r="D425" s="113" t="s">
        <v>70</v>
      </c>
      <c r="E425" s="112">
        <f>E421*4</f>
        <v>66.72</v>
      </c>
      <c r="F425" s="107">
        <f>VLOOKUP(H425,'PROJECT SUMMARY'!$C$26:$D$32,2,0)</f>
        <v>0.05</v>
      </c>
      <c r="G425" s="112">
        <f t="shared" ref="G425" si="388">E425*(1+F425)</f>
        <v>70.055999999999997</v>
      </c>
      <c r="H425" s="178" t="s">
        <v>11</v>
      </c>
      <c r="I425" s="110">
        <v>7.0000000000000001E-3</v>
      </c>
      <c r="J425" s="80">
        <f t="shared" si="384"/>
        <v>0.49039199999999999</v>
      </c>
      <c r="K425" s="106">
        <v>47.5</v>
      </c>
      <c r="L425" s="106">
        <f t="shared" si="385"/>
        <v>23.293620000000001</v>
      </c>
      <c r="M425" s="106">
        <v>0.15</v>
      </c>
      <c r="N425" s="106">
        <f t="shared" si="386"/>
        <v>10.5084</v>
      </c>
      <c r="O425" s="106">
        <f t="shared" si="387"/>
        <v>33.802019999999999</v>
      </c>
      <c r="P425" s="108"/>
    </row>
    <row r="426" spans="1:16" s="177" customFormat="1" ht="15" customHeight="1" x14ac:dyDescent="0.25">
      <c r="A426" s="109" t="str">
        <f>IF(G426&lt;&gt;"",1+MAX($A$13:A425),"")</f>
        <v/>
      </c>
      <c r="B426" s="178"/>
      <c r="C426" s="178"/>
      <c r="E426" s="112"/>
      <c r="F426" s="107"/>
      <c r="G426" s="112"/>
      <c r="H426" s="178"/>
      <c r="J426" s="80"/>
      <c r="K426" s="106"/>
      <c r="L426" s="106"/>
      <c r="M426" s="106"/>
      <c r="N426" s="106"/>
      <c r="O426" s="106"/>
      <c r="P426" s="108"/>
    </row>
    <row r="427" spans="1:16" s="177" customFormat="1" x14ac:dyDescent="0.25">
      <c r="A427" s="109" t="str">
        <f>IF(G427&lt;&gt;"",1+MAX($A$13:A426),"")</f>
        <v/>
      </c>
      <c r="B427" s="178"/>
      <c r="C427" s="178"/>
      <c r="D427" s="58" t="s">
        <v>373</v>
      </c>
      <c r="E427" s="79">
        <v>22.62</v>
      </c>
      <c r="F427" s="107"/>
      <c r="G427" s="112"/>
      <c r="H427" s="178" t="s">
        <v>11</v>
      </c>
      <c r="J427" s="80"/>
      <c r="K427" s="106"/>
      <c r="L427" s="106"/>
      <c r="M427" s="106"/>
      <c r="N427" s="106"/>
      <c r="O427" s="106"/>
      <c r="P427" s="108"/>
    </row>
    <row r="428" spans="1:16" s="177" customFormat="1" x14ac:dyDescent="0.25">
      <c r="A428" s="109">
        <f>IF(G428&lt;&gt;"",1+MAX($A$13:A427),"")</f>
        <v>272</v>
      </c>
      <c r="B428" s="178" t="s">
        <v>381</v>
      </c>
      <c r="C428" s="178" t="s">
        <v>50</v>
      </c>
      <c r="D428" s="113" t="s">
        <v>362</v>
      </c>
      <c r="E428" s="112">
        <f>E427*10.167*2/32</f>
        <v>14.37359625</v>
      </c>
      <c r="F428" s="107">
        <f>VLOOKUP(H428,'PROJECT SUMMARY'!$C$26:$D$32,2,0)</f>
        <v>0</v>
      </c>
      <c r="G428" s="112">
        <f t="shared" ref="G428:G430" si="389">E428*(1+F428)</f>
        <v>14.37359625</v>
      </c>
      <c r="H428" s="178" t="s">
        <v>10</v>
      </c>
      <c r="I428" s="110">
        <v>0.35</v>
      </c>
      <c r="J428" s="80">
        <f t="shared" ref="J428:J429" si="390">I428*G428</f>
        <v>5.0307586874999997</v>
      </c>
      <c r="K428" s="106">
        <v>47.5</v>
      </c>
      <c r="L428" s="106">
        <f t="shared" ref="L428:L429" si="391">K428*J428</f>
        <v>238.96103765624997</v>
      </c>
      <c r="M428" s="106">
        <v>9.6</v>
      </c>
      <c r="N428" s="106">
        <f t="shared" ref="N428:N429" si="392">M428*G428</f>
        <v>137.986524</v>
      </c>
      <c r="O428" s="106">
        <f t="shared" ref="O428:O429" si="393">L428+N428</f>
        <v>376.94756165624995</v>
      </c>
      <c r="P428" s="108"/>
    </row>
    <row r="429" spans="1:16" s="177" customFormat="1" x14ac:dyDescent="0.25">
      <c r="A429" s="109">
        <f>IF(G429&lt;&gt;"",1+MAX($A$13:A428),"")</f>
        <v>273</v>
      </c>
      <c r="B429" s="178" t="s">
        <v>381</v>
      </c>
      <c r="C429" s="178" t="s">
        <v>50</v>
      </c>
      <c r="D429" s="113" t="s">
        <v>342</v>
      </c>
      <c r="E429" s="112">
        <f>E427/1.33</f>
        <v>17.007518796992482</v>
      </c>
      <c r="F429" s="107">
        <f>VLOOKUP(H429,'PROJECT SUMMARY'!$C$26:$D$32,2,0)</f>
        <v>0</v>
      </c>
      <c r="G429" s="112">
        <f t="shared" si="389"/>
        <v>17.007518796992482</v>
      </c>
      <c r="H429" s="178" t="s">
        <v>10</v>
      </c>
      <c r="I429" s="110">
        <v>0.42000000000000004</v>
      </c>
      <c r="J429" s="80">
        <f t="shared" si="390"/>
        <v>7.1431578947368433</v>
      </c>
      <c r="K429" s="106">
        <v>47.5</v>
      </c>
      <c r="L429" s="106">
        <f t="shared" si="391"/>
        <v>339.30000000000007</v>
      </c>
      <c r="M429" s="106">
        <v>18.600000000000001</v>
      </c>
      <c r="N429" s="106">
        <f t="shared" si="392"/>
        <v>316.33984962406021</v>
      </c>
      <c r="O429" s="106">
        <f t="shared" si="393"/>
        <v>655.63984962406028</v>
      </c>
      <c r="P429" s="108"/>
    </row>
    <row r="430" spans="1:16" s="177" customFormat="1" x14ac:dyDescent="0.25">
      <c r="A430" s="109">
        <f>IF(G430&lt;&gt;"",1+MAX($A$13:A429),"")</f>
        <v>274</v>
      </c>
      <c r="B430" s="178" t="s">
        <v>381</v>
      </c>
      <c r="C430" s="178" t="s">
        <v>50</v>
      </c>
      <c r="D430" s="113" t="s">
        <v>343</v>
      </c>
      <c r="E430" s="112">
        <f>E427*3</f>
        <v>67.86</v>
      </c>
      <c r="F430" s="107">
        <f>VLOOKUP(H430,'PROJECT SUMMARY'!$C$26:$D$32,2,0)</f>
        <v>0.05</v>
      </c>
      <c r="G430" s="112">
        <f t="shared" si="389"/>
        <v>71.253</v>
      </c>
      <c r="H430" s="178" t="s">
        <v>11</v>
      </c>
      <c r="I430" s="110">
        <v>3.5000000000000003E-2</v>
      </c>
      <c r="J430" s="80">
        <f t="shared" ref="J428:J431" si="394">I430*G430</f>
        <v>2.4938550000000004</v>
      </c>
      <c r="K430" s="106">
        <v>47.5</v>
      </c>
      <c r="L430" s="106">
        <f t="shared" ref="L428:L431" si="395">K430*J430</f>
        <v>118.45811250000001</v>
      </c>
      <c r="M430" s="106">
        <v>1.55</v>
      </c>
      <c r="N430" s="106">
        <f t="shared" ref="N428:N431" si="396">M430*G430</f>
        <v>110.44215</v>
      </c>
      <c r="O430" s="106">
        <f t="shared" ref="O428:O431" si="397">L430+N430</f>
        <v>228.9002625</v>
      </c>
      <c r="P430" s="108"/>
    </row>
    <row r="431" spans="1:16" s="177" customFormat="1" x14ac:dyDescent="0.25">
      <c r="A431" s="109">
        <f>IF(G431&lt;&gt;"",1+MAX($A$13:A430),"")</f>
        <v>275</v>
      </c>
      <c r="B431" s="178" t="s">
        <v>381</v>
      </c>
      <c r="C431" s="178" t="s">
        <v>50</v>
      </c>
      <c r="D431" s="113" t="s">
        <v>70</v>
      </c>
      <c r="E431" s="112">
        <f>E427*4</f>
        <v>90.48</v>
      </c>
      <c r="F431" s="107">
        <f>VLOOKUP(H431,'PROJECT SUMMARY'!$C$26:$D$32,2,0)</f>
        <v>0.05</v>
      </c>
      <c r="G431" s="112">
        <f t="shared" ref="G431" si="398">E431*(1+F431)</f>
        <v>95.004000000000005</v>
      </c>
      <c r="H431" s="178" t="s">
        <v>11</v>
      </c>
      <c r="I431" s="110">
        <v>7.0000000000000001E-3</v>
      </c>
      <c r="J431" s="80">
        <f t="shared" si="394"/>
        <v>0.66502800000000006</v>
      </c>
      <c r="K431" s="106">
        <v>47.5</v>
      </c>
      <c r="L431" s="106">
        <f t="shared" si="395"/>
        <v>31.588830000000002</v>
      </c>
      <c r="M431" s="106">
        <v>0.15</v>
      </c>
      <c r="N431" s="106">
        <f t="shared" si="396"/>
        <v>14.2506</v>
      </c>
      <c r="O431" s="106">
        <f t="shared" si="397"/>
        <v>45.83943</v>
      </c>
      <c r="P431" s="108"/>
    </row>
    <row r="432" spans="1:16" s="177" customFormat="1" ht="15" customHeight="1" x14ac:dyDescent="0.25">
      <c r="A432" s="109" t="str">
        <f>IF(G432&lt;&gt;"",1+MAX($A$13:A431),"")</f>
        <v/>
      </c>
      <c r="B432" s="178"/>
      <c r="C432" s="178"/>
      <c r="E432" s="112"/>
      <c r="F432" s="107"/>
      <c r="G432" s="112"/>
      <c r="H432" s="178"/>
      <c r="J432" s="80"/>
      <c r="K432" s="106"/>
      <c r="L432" s="106"/>
      <c r="M432" s="106"/>
      <c r="N432" s="106"/>
      <c r="O432" s="106"/>
      <c r="P432" s="108"/>
    </row>
    <row r="433" spans="1:16" s="177" customFormat="1" x14ac:dyDescent="0.25">
      <c r="A433" s="109" t="str">
        <f>IF(G433&lt;&gt;"",1+MAX($A$13:A432),"")</f>
        <v/>
      </c>
      <c r="B433" s="178"/>
      <c r="C433" s="178"/>
      <c r="D433" s="58" t="s">
        <v>374</v>
      </c>
      <c r="E433" s="79">
        <v>2.63</v>
      </c>
      <c r="F433" s="107"/>
      <c r="G433" s="112"/>
      <c r="H433" s="178" t="s">
        <v>11</v>
      </c>
      <c r="J433" s="80"/>
      <c r="K433" s="106"/>
      <c r="L433" s="106"/>
      <c r="M433" s="106"/>
      <c r="N433" s="106"/>
      <c r="O433" s="106"/>
      <c r="P433" s="108"/>
    </row>
    <row r="434" spans="1:16" s="177" customFormat="1" x14ac:dyDescent="0.25">
      <c r="A434" s="109">
        <f>IF(G434&lt;&gt;"",1+MAX($A$13:A433),"")</f>
        <v>276</v>
      </c>
      <c r="B434" s="178" t="s">
        <v>381</v>
      </c>
      <c r="C434" s="178" t="s">
        <v>50</v>
      </c>
      <c r="D434" s="113" t="s">
        <v>346</v>
      </c>
      <c r="E434" s="112">
        <f>E433*9.83/32</f>
        <v>0.80790312499999994</v>
      </c>
      <c r="F434" s="107">
        <f>VLOOKUP(H434,'PROJECT SUMMARY'!$C$26:$D$32,2,0)</f>
        <v>0</v>
      </c>
      <c r="G434" s="112">
        <f t="shared" ref="G434:G437" si="399">E434*(1+F434)</f>
        <v>0.80790312499999994</v>
      </c>
      <c r="H434" s="178" t="s">
        <v>10</v>
      </c>
      <c r="I434" s="110">
        <v>0.35</v>
      </c>
      <c r="J434" s="80">
        <f t="shared" ref="J434:J435" si="400">I434*G434</f>
        <v>0.28276609374999995</v>
      </c>
      <c r="K434" s="106">
        <v>47.5</v>
      </c>
      <c r="L434" s="106">
        <f t="shared" ref="L434:L435" si="401">K434*J434</f>
        <v>13.431389453124998</v>
      </c>
      <c r="M434" s="106">
        <v>11</v>
      </c>
      <c r="N434" s="106">
        <f t="shared" ref="N434:N435" si="402">M434*G434</f>
        <v>8.8869343749999992</v>
      </c>
      <c r="O434" s="106">
        <f t="shared" ref="O434:O435" si="403">L434+N434</f>
        <v>22.318323828124996</v>
      </c>
      <c r="P434" s="108"/>
    </row>
    <row r="435" spans="1:16" s="177" customFormat="1" x14ac:dyDescent="0.25">
      <c r="A435" s="109">
        <f>IF(G435&lt;&gt;"",1+MAX($A$13:A434),"")</f>
        <v>277</v>
      </c>
      <c r="B435" s="178" t="s">
        <v>381</v>
      </c>
      <c r="C435" s="178" t="s">
        <v>50</v>
      </c>
      <c r="D435" s="113" t="s">
        <v>340</v>
      </c>
      <c r="E435" s="112">
        <f>E433/1.33</f>
        <v>1.9774436090225562</v>
      </c>
      <c r="F435" s="107">
        <f>VLOOKUP(H435,'PROJECT SUMMARY'!$C$26:$D$32,2,0)</f>
        <v>0</v>
      </c>
      <c r="G435" s="112">
        <f t="shared" si="399"/>
        <v>1.9774436090225562</v>
      </c>
      <c r="H435" s="178" t="s">
        <v>10</v>
      </c>
      <c r="I435" s="110">
        <v>0.48</v>
      </c>
      <c r="J435" s="80">
        <f t="shared" si="400"/>
        <v>0.949172932330827</v>
      </c>
      <c r="K435" s="106">
        <v>47.5</v>
      </c>
      <c r="L435" s="106">
        <f t="shared" si="401"/>
        <v>45.085714285714282</v>
      </c>
      <c r="M435" s="106">
        <v>22.200000000000003</v>
      </c>
      <c r="N435" s="106">
        <f t="shared" si="402"/>
        <v>43.899248120300754</v>
      </c>
      <c r="O435" s="106">
        <f t="shared" si="403"/>
        <v>88.984962406015029</v>
      </c>
      <c r="P435" s="108"/>
    </row>
    <row r="436" spans="1:16" s="177" customFormat="1" x14ac:dyDescent="0.25">
      <c r="A436" s="109">
        <f>IF(G436&lt;&gt;"",1+MAX($A$13:A435),"")</f>
        <v>278</v>
      </c>
      <c r="B436" s="178" t="s">
        <v>381</v>
      </c>
      <c r="C436" s="178" t="s">
        <v>50</v>
      </c>
      <c r="D436" s="113" t="s">
        <v>338</v>
      </c>
      <c r="E436" s="112">
        <f>E433*3</f>
        <v>7.89</v>
      </c>
      <c r="F436" s="107">
        <f>VLOOKUP(H436,'PROJECT SUMMARY'!$C$26:$D$32,2,0)</f>
        <v>0.05</v>
      </c>
      <c r="G436" s="112">
        <f t="shared" si="399"/>
        <v>8.2844999999999995</v>
      </c>
      <c r="H436" s="178" t="s">
        <v>11</v>
      </c>
      <c r="I436" s="110">
        <v>0.04</v>
      </c>
      <c r="J436" s="80">
        <f t="shared" ref="J434:J437" si="404">I436*G436</f>
        <v>0.33138000000000001</v>
      </c>
      <c r="K436" s="106">
        <v>47.5</v>
      </c>
      <c r="L436" s="106">
        <f t="shared" ref="L434:L437" si="405">K436*J436</f>
        <v>15.740550000000001</v>
      </c>
      <c r="M436" s="106">
        <v>1.85</v>
      </c>
      <c r="N436" s="106">
        <f t="shared" ref="N434:N437" si="406">M436*G436</f>
        <v>15.326325000000001</v>
      </c>
      <c r="O436" s="106">
        <f t="shared" ref="O434:O437" si="407">L436+N436</f>
        <v>31.066875000000003</v>
      </c>
      <c r="P436" s="108"/>
    </row>
    <row r="437" spans="1:16" s="177" customFormat="1" x14ac:dyDescent="0.25">
      <c r="A437" s="109">
        <f>IF(G437&lt;&gt;"",1+MAX($A$13:A436),"")</f>
        <v>279</v>
      </c>
      <c r="B437" s="178" t="s">
        <v>381</v>
      </c>
      <c r="C437" s="178" t="s">
        <v>50</v>
      </c>
      <c r="D437" s="113" t="s">
        <v>70</v>
      </c>
      <c r="E437" s="112">
        <f>E433*4</f>
        <v>10.52</v>
      </c>
      <c r="F437" s="107">
        <f>VLOOKUP(H437,'PROJECT SUMMARY'!$C$26:$D$32,2,0)</f>
        <v>0.05</v>
      </c>
      <c r="G437" s="112">
        <f t="shared" si="399"/>
        <v>11.045999999999999</v>
      </c>
      <c r="H437" s="178" t="s">
        <v>11</v>
      </c>
      <c r="I437" s="110">
        <v>7.0000000000000001E-3</v>
      </c>
      <c r="J437" s="80">
        <f t="shared" si="404"/>
        <v>7.7322000000000002E-2</v>
      </c>
      <c r="K437" s="106">
        <v>47.5</v>
      </c>
      <c r="L437" s="106">
        <f t="shared" si="405"/>
        <v>3.6727950000000003</v>
      </c>
      <c r="M437" s="106">
        <v>0.15</v>
      </c>
      <c r="N437" s="106">
        <f t="shared" si="406"/>
        <v>1.6568999999999998</v>
      </c>
      <c r="O437" s="106">
        <f t="shared" si="407"/>
        <v>5.3296950000000001</v>
      </c>
      <c r="P437" s="108"/>
    </row>
    <row r="438" spans="1:16" s="177" customFormat="1" ht="15" customHeight="1" x14ac:dyDescent="0.25">
      <c r="A438" s="109" t="str">
        <f>IF(G438&lt;&gt;"",1+MAX($A$13:A437),"")</f>
        <v/>
      </c>
      <c r="B438" s="178"/>
      <c r="C438" s="178"/>
      <c r="E438" s="112"/>
      <c r="F438" s="107"/>
      <c r="G438" s="112"/>
      <c r="H438" s="178"/>
      <c r="J438" s="80"/>
      <c r="K438" s="106"/>
      <c r="L438" s="106"/>
      <c r="M438" s="106"/>
      <c r="N438" s="106"/>
      <c r="O438" s="106"/>
      <c r="P438" s="108"/>
    </row>
    <row r="439" spans="1:16" s="177" customFormat="1" x14ac:dyDescent="0.25">
      <c r="A439" s="109" t="str">
        <f>IF(G439&lt;&gt;"",1+MAX($A$13:A438),"")</f>
        <v/>
      </c>
      <c r="B439" s="178"/>
      <c r="C439" s="178"/>
      <c r="D439" s="58" t="s">
        <v>375</v>
      </c>
      <c r="E439" s="79">
        <v>9.5399999999999991</v>
      </c>
      <c r="F439" s="107"/>
      <c r="G439" s="112"/>
      <c r="H439" s="178" t="s">
        <v>11</v>
      </c>
      <c r="J439" s="80"/>
      <c r="K439" s="106"/>
      <c r="L439" s="106"/>
      <c r="M439" s="106"/>
      <c r="N439" s="106"/>
      <c r="O439" s="106"/>
      <c r="P439" s="108"/>
    </row>
    <row r="440" spans="1:16" s="177" customFormat="1" x14ac:dyDescent="0.25">
      <c r="A440" s="109">
        <f>IF(G440&lt;&gt;"",1+MAX($A$13:A439),"")</f>
        <v>280</v>
      </c>
      <c r="B440" s="178" t="s">
        <v>381</v>
      </c>
      <c r="C440" s="178" t="s">
        <v>50</v>
      </c>
      <c r="D440" s="113" t="s">
        <v>346</v>
      </c>
      <c r="E440" s="112">
        <f>E439*10.167/32</f>
        <v>3.0310368749999999</v>
      </c>
      <c r="F440" s="107">
        <f>VLOOKUP(H440,'PROJECT SUMMARY'!$C$26:$D$32,2,0)</f>
        <v>0</v>
      </c>
      <c r="G440" s="112">
        <f t="shared" ref="G440:G443" si="408">E440*(1+F440)</f>
        <v>3.0310368749999999</v>
      </c>
      <c r="H440" s="178" t="s">
        <v>10</v>
      </c>
      <c r="I440" s="110">
        <v>0.35</v>
      </c>
      <c r="J440" s="80">
        <f t="shared" ref="J440:J441" si="409">I440*G440</f>
        <v>1.0608629062499999</v>
      </c>
      <c r="K440" s="106">
        <v>47.5</v>
      </c>
      <c r="L440" s="106">
        <f t="shared" ref="L440:L441" si="410">K440*J440</f>
        <v>50.390988046874995</v>
      </c>
      <c r="M440" s="106">
        <v>11</v>
      </c>
      <c r="N440" s="106">
        <f t="shared" ref="N440:N441" si="411">M440*G440</f>
        <v>33.341405625</v>
      </c>
      <c r="O440" s="106">
        <f t="shared" ref="O440:O441" si="412">L440+N440</f>
        <v>83.732393671875002</v>
      </c>
      <c r="P440" s="108"/>
    </row>
    <row r="441" spans="1:16" s="177" customFormat="1" x14ac:dyDescent="0.25">
      <c r="A441" s="109">
        <f>IF(G441&lt;&gt;"",1+MAX($A$13:A440),"")</f>
        <v>281</v>
      </c>
      <c r="B441" s="178" t="s">
        <v>381</v>
      </c>
      <c r="C441" s="178" t="s">
        <v>50</v>
      </c>
      <c r="D441" s="113" t="s">
        <v>340</v>
      </c>
      <c r="E441" s="112">
        <f>E439/1.33</f>
        <v>7.1729323308270665</v>
      </c>
      <c r="F441" s="107">
        <f>VLOOKUP(H441,'PROJECT SUMMARY'!$C$26:$D$32,2,0)</f>
        <v>0</v>
      </c>
      <c r="G441" s="112">
        <f t="shared" si="408"/>
        <v>7.1729323308270665</v>
      </c>
      <c r="H441" s="178" t="s">
        <v>10</v>
      </c>
      <c r="I441" s="110">
        <v>0.48</v>
      </c>
      <c r="J441" s="80">
        <f t="shared" si="409"/>
        <v>3.4430075187969917</v>
      </c>
      <c r="K441" s="106">
        <v>47.5</v>
      </c>
      <c r="L441" s="106">
        <f t="shared" si="410"/>
        <v>163.54285714285712</v>
      </c>
      <c r="M441" s="106">
        <v>22.200000000000003</v>
      </c>
      <c r="N441" s="106">
        <f t="shared" si="411"/>
        <v>159.23909774436089</v>
      </c>
      <c r="O441" s="106">
        <f t="shared" si="412"/>
        <v>322.78195488721803</v>
      </c>
      <c r="P441" s="108"/>
    </row>
    <row r="442" spans="1:16" s="177" customFormat="1" x14ac:dyDescent="0.25">
      <c r="A442" s="109">
        <f>IF(G442&lt;&gt;"",1+MAX($A$13:A441),"")</f>
        <v>282</v>
      </c>
      <c r="B442" s="178" t="s">
        <v>381</v>
      </c>
      <c r="C442" s="178" t="s">
        <v>50</v>
      </c>
      <c r="D442" s="113" t="s">
        <v>338</v>
      </c>
      <c r="E442" s="112">
        <f>E439*3</f>
        <v>28.619999999999997</v>
      </c>
      <c r="F442" s="107">
        <f>VLOOKUP(H442,'PROJECT SUMMARY'!$C$26:$D$32,2,0)</f>
        <v>0.05</v>
      </c>
      <c r="G442" s="112">
        <f t="shared" si="408"/>
        <v>30.050999999999998</v>
      </c>
      <c r="H442" s="178" t="s">
        <v>11</v>
      </c>
      <c r="I442" s="110">
        <v>0.04</v>
      </c>
      <c r="J442" s="80">
        <f t="shared" ref="J440:J443" si="413">I442*G442</f>
        <v>1.20204</v>
      </c>
      <c r="K442" s="106">
        <v>47.5</v>
      </c>
      <c r="L442" s="106">
        <f t="shared" ref="L440:L443" si="414">K442*J442</f>
        <v>57.096899999999998</v>
      </c>
      <c r="M442" s="106">
        <v>1.85</v>
      </c>
      <c r="N442" s="106">
        <f t="shared" ref="N440:N443" si="415">M442*G442</f>
        <v>55.594349999999999</v>
      </c>
      <c r="O442" s="106">
        <f t="shared" ref="O440:O443" si="416">L442+N442</f>
        <v>112.69125</v>
      </c>
      <c r="P442" s="108"/>
    </row>
    <row r="443" spans="1:16" s="177" customFormat="1" x14ac:dyDescent="0.25">
      <c r="A443" s="109">
        <f>IF(G443&lt;&gt;"",1+MAX($A$13:A442),"")</f>
        <v>283</v>
      </c>
      <c r="B443" s="178" t="s">
        <v>381</v>
      </c>
      <c r="C443" s="178" t="s">
        <v>50</v>
      </c>
      <c r="D443" s="113" t="s">
        <v>70</v>
      </c>
      <c r="E443" s="112">
        <f>E439*4</f>
        <v>38.159999999999997</v>
      </c>
      <c r="F443" s="107">
        <f>VLOOKUP(H443,'PROJECT SUMMARY'!$C$26:$D$32,2,0)</f>
        <v>0.05</v>
      </c>
      <c r="G443" s="112">
        <f t="shared" si="408"/>
        <v>40.067999999999998</v>
      </c>
      <c r="H443" s="178" t="s">
        <v>11</v>
      </c>
      <c r="I443" s="110">
        <v>7.0000000000000001E-3</v>
      </c>
      <c r="J443" s="80">
        <f t="shared" si="413"/>
        <v>0.280476</v>
      </c>
      <c r="K443" s="106">
        <v>47.5</v>
      </c>
      <c r="L443" s="106">
        <f t="shared" si="414"/>
        <v>13.322610000000001</v>
      </c>
      <c r="M443" s="106">
        <v>0.15</v>
      </c>
      <c r="N443" s="106">
        <f t="shared" si="415"/>
        <v>6.0101999999999993</v>
      </c>
      <c r="O443" s="106">
        <f t="shared" si="416"/>
        <v>19.332810000000002</v>
      </c>
      <c r="P443" s="108"/>
    </row>
    <row r="444" spans="1:16" s="177" customFormat="1" ht="15" customHeight="1" x14ac:dyDescent="0.25">
      <c r="A444" s="109" t="str">
        <f>IF(G444&lt;&gt;"",1+MAX($A$13:A443),"")</f>
        <v/>
      </c>
      <c r="B444" s="178"/>
      <c r="C444" s="178"/>
      <c r="E444" s="112"/>
      <c r="F444" s="107"/>
      <c r="G444" s="112"/>
      <c r="H444" s="178"/>
      <c r="J444" s="80"/>
      <c r="K444" s="106"/>
      <c r="L444" s="106"/>
      <c r="M444" s="106"/>
      <c r="N444" s="106"/>
      <c r="O444" s="106"/>
      <c r="P444" s="108"/>
    </row>
    <row r="445" spans="1:16" s="177" customFormat="1" x14ac:dyDescent="0.25">
      <c r="A445" s="109" t="str">
        <f>IF(G445&lt;&gt;"",1+MAX($A$13:A444),"")</f>
        <v/>
      </c>
      <c r="B445" s="178"/>
      <c r="C445" s="178"/>
      <c r="D445" s="58" t="s">
        <v>374</v>
      </c>
      <c r="E445" s="79">
        <v>1.68</v>
      </c>
      <c r="F445" s="107"/>
      <c r="G445" s="112"/>
      <c r="H445" s="178" t="s">
        <v>11</v>
      </c>
      <c r="J445" s="80"/>
      <c r="K445" s="106"/>
      <c r="L445" s="106"/>
      <c r="M445" s="106"/>
      <c r="N445" s="106"/>
      <c r="O445" s="106"/>
      <c r="P445" s="108"/>
    </row>
    <row r="446" spans="1:16" s="177" customFormat="1" x14ac:dyDescent="0.25">
      <c r="A446" s="109">
        <f>IF(G446&lt;&gt;"",1+MAX($A$13:A445),"")</f>
        <v>284</v>
      </c>
      <c r="B446" s="178" t="s">
        <v>381</v>
      </c>
      <c r="C446" s="178" t="s">
        <v>50</v>
      </c>
      <c r="D446" s="113" t="s">
        <v>336</v>
      </c>
      <c r="E446" s="112">
        <f>E445*9.83/32</f>
        <v>0.51607499999999995</v>
      </c>
      <c r="F446" s="107">
        <f>VLOOKUP(H446,'PROJECT SUMMARY'!$C$26:$D$32,2,0)</f>
        <v>0</v>
      </c>
      <c r="G446" s="112">
        <f t="shared" ref="G446:G449" si="417">E446*(1+F446)</f>
        <v>0.51607499999999995</v>
      </c>
      <c r="H446" s="178" t="s">
        <v>10</v>
      </c>
      <c r="I446" s="110">
        <v>0.35</v>
      </c>
      <c r="J446" s="80">
        <f t="shared" ref="J446:J447" si="418">I446*G446</f>
        <v>0.18062624999999996</v>
      </c>
      <c r="K446" s="106">
        <v>47.5</v>
      </c>
      <c r="L446" s="106">
        <f t="shared" ref="L446:L447" si="419">K446*J446</f>
        <v>8.5797468749999979</v>
      </c>
      <c r="M446" s="106">
        <v>9.6</v>
      </c>
      <c r="N446" s="106">
        <f t="shared" ref="N446:N447" si="420">M446*G446</f>
        <v>4.9543199999999992</v>
      </c>
      <c r="O446" s="106">
        <f t="shared" ref="O446:O447" si="421">L446+N446</f>
        <v>13.534066874999997</v>
      </c>
      <c r="P446" s="108"/>
    </row>
    <row r="447" spans="1:16" s="177" customFormat="1" x14ac:dyDescent="0.25">
      <c r="A447" s="109">
        <f>IF(G447&lt;&gt;"",1+MAX($A$13:A446),"")</f>
        <v>285</v>
      </c>
      <c r="B447" s="178" t="s">
        <v>381</v>
      </c>
      <c r="C447" s="178" t="s">
        <v>50</v>
      </c>
      <c r="D447" s="113" t="s">
        <v>342</v>
      </c>
      <c r="E447" s="112">
        <f>E445/1.33</f>
        <v>1.263157894736842</v>
      </c>
      <c r="F447" s="107">
        <f>VLOOKUP(H447,'PROJECT SUMMARY'!$C$26:$D$32,2,0)</f>
        <v>0</v>
      </c>
      <c r="G447" s="112">
        <f t="shared" si="417"/>
        <v>1.263157894736842</v>
      </c>
      <c r="H447" s="178" t="s">
        <v>10</v>
      </c>
      <c r="I447" s="110">
        <v>0.42000000000000004</v>
      </c>
      <c r="J447" s="80">
        <f t="shared" si="418"/>
        <v>0.53052631578947373</v>
      </c>
      <c r="K447" s="106">
        <v>47.5</v>
      </c>
      <c r="L447" s="106">
        <f t="shared" si="419"/>
        <v>25.200000000000003</v>
      </c>
      <c r="M447" s="106">
        <v>18.600000000000001</v>
      </c>
      <c r="N447" s="106">
        <f t="shared" si="420"/>
        <v>23.494736842105265</v>
      </c>
      <c r="O447" s="106">
        <f t="shared" si="421"/>
        <v>48.694736842105272</v>
      </c>
      <c r="P447" s="108"/>
    </row>
    <row r="448" spans="1:16" s="177" customFormat="1" x14ac:dyDescent="0.25">
      <c r="A448" s="109">
        <f>IF(G448&lt;&gt;"",1+MAX($A$13:A447),"")</f>
        <v>286</v>
      </c>
      <c r="B448" s="178" t="s">
        <v>381</v>
      </c>
      <c r="C448" s="178" t="s">
        <v>50</v>
      </c>
      <c r="D448" s="113" t="s">
        <v>343</v>
      </c>
      <c r="E448" s="112">
        <f>E445*3</f>
        <v>5.04</v>
      </c>
      <c r="F448" s="107">
        <f>VLOOKUP(H448,'PROJECT SUMMARY'!$C$26:$D$32,2,0)</f>
        <v>0.05</v>
      </c>
      <c r="G448" s="112">
        <f t="shared" si="417"/>
        <v>5.2920000000000007</v>
      </c>
      <c r="H448" s="178" t="s">
        <v>11</v>
      </c>
      <c r="I448" s="110">
        <v>3.5000000000000003E-2</v>
      </c>
      <c r="J448" s="80">
        <f t="shared" ref="J446:J449" si="422">I448*G448</f>
        <v>0.18522000000000005</v>
      </c>
      <c r="K448" s="106">
        <v>47.5</v>
      </c>
      <c r="L448" s="106">
        <f t="shared" ref="L446:L449" si="423">K448*J448</f>
        <v>8.7979500000000019</v>
      </c>
      <c r="M448" s="106">
        <v>1.55</v>
      </c>
      <c r="N448" s="106">
        <f t="shared" ref="N446:N449" si="424">M448*G448</f>
        <v>8.2026000000000021</v>
      </c>
      <c r="O448" s="106">
        <f t="shared" ref="O446:O449" si="425">L448+N448</f>
        <v>17.000550000000004</v>
      </c>
      <c r="P448" s="108"/>
    </row>
    <row r="449" spans="1:16" s="177" customFormat="1" x14ac:dyDescent="0.25">
      <c r="A449" s="109">
        <f>IF(G449&lt;&gt;"",1+MAX($A$13:A448),"")</f>
        <v>287</v>
      </c>
      <c r="B449" s="178" t="s">
        <v>381</v>
      </c>
      <c r="C449" s="178" t="s">
        <v>50</v>
      </c>
      <c r="D449" s="113" t="s">
        <v>70</v>
      </c>
      <c r="E449" s="112">
        <f>E445*4</f>
        <v>6.72</v>
      </c>
      <c r="F449" s="107">
        <f>VLOOKUP(H449,'PROJECT SUMMARY'!$C$26:$D$32,2,0)</f>
        <v>0.05</v>
      </c>
      <c r="G449" s="112">
        <f t="shared" si="417"/>
        <v>7.056</v>
      </c>
      <c r="H449" s="178" t="s">
        <v>11</v>
      </c>
      <c r="I449" s="110">
        <v>7.0000000000000001E-3</v>
      </c>
      <c r="J449" s="80">
        <f t="shared" si="422"/>
        <v>4.9391999999999998E-2</v>
      </c>
      <c r="K449" s="106">
        <v>47.5</v>
      </c>
      <c r="L449" s="106">
        <f t="shared" si="423"/>
        <v>2.34612</v>
      </c>
      <c r="M449" s="106">
        <v>0.15</v>
      </c>
      <c r="N449" s="106">
        <f t="shared" si="424"/>
        <v>1.0584</v>
      </c>
      <c r="O449" s="106">
        <f t="shared" si="425"/>
        <v>3.4045199999999998</v>
      </c>
      <c r="P449" s="108"/>
    </row>
    <row r="450" spans="1:16" s="177" customFormat="1" ht="15" customHeight="1" x14ac:dyDescent="0.25">
      <c r="A450" s="109" t="str">
        <f>IF(G450&lt;&gt;"",1+MAX($A$13:A449),"")</f>
        <v/>
      </c>
      <c r="B450" s="178"/>
      <c r="C450" s="178"/>
      <c r="E450" s="112"/>
      <c r="F450" s="107"/>
      <c r="G450" s="112"/>
      <c r="H450" s="178"/>
      <c r="J450" s="80"/>
      <c r="K450" s="106"/>
      <c r="L450" s="106"/>
      <c r="M450" s="106"/>
      <c r="N450" s="106"/>
      <c r="O450" s="106"/>
      <c r="P450" s="108"/>
    </row>
    <row r="451" spans="1:16" s="177" customFormat="1" x14ac:dyDescent="0.25">
      <c r="A451" s="109" t="str">
        <f>IF(G451&lt;&gt;"",1+MAX($A$13:A450),"")</f>
        <v/>
      </c>
      <c r="B451" s="178"/>
      <c r="C451" s="178"/>
      <c r="D451" s="58" t="s">
        <v>376</v>
      </c>
      <c r="E451" s="79">
        <v>28.61</v>
      </c>
      <c r="F451" s="107"/>
      <c r="G451" s="112"/>
      <c r="H451" s="178" t="s">
        <v>11</v>
      </c>
      <c r="J451" s="80"/>
      <c r="K451" s="106"/>
      <c r="L451" s="106"/>
      <c r="M451" s="106"/>
      <c r="N451" s="106"/>
      <c r="O451" s="106"/>
      <c r="P451" s="108"/>
    </row>
    <row r="452" spans="1:16" s="177" customFormat="1" x14ac:dyDescent="0.25">
      <c r="A452" s="109">
        <f>IF(G452&lt;&gt;"",1+MAX($A$13:A451),"")</f>
        <v>288</v>
      </c>
      <c r="B452" s="178" t="s">
        <v>381</v>
      </c>
      <c r="C452" s="178" t="s">
        <v>50</v>
      </c>
      <c r="D452" s="113" t="s">
        <v>336</v>
      </c>
      <c r="E452" s="112">
        <f>E451*2/32</f>
        <v>1.788125</v>
      </c>
      <c r="F452" s="107">
        <f>VLOOKUP(H452,'PROJECT SUMMARY'!$C$26:$D$32,2,0)</f>
        <v>0</v>
      </c>
      <c r="G452" s="112">
        <f t="shared" ref="G452:G455" si="426">E452*(1+F452)</f>
        <v>1.788125</v>
      </c>
      <c r="H452" s="178" t="s">
        <v>10</v>
      </c>
      <c r="I452" s="110">
        <v>0.35</v>
      </c>
      <c r="J452" s="80">
        <f t="shared" ref="J452:J453" si="427">I452*G452</f>
        <v>0.62584374999999992</v>
      </c>
      <c r="K452" s="106">
        <v>47.5</v>
      </c>
      <c r="L452" s="106">
        <f t="shared" ref="L452:L453" si="428">K452*J452</f>
        <v>29.727578124999997</v>
      </c>
      <c r="M452" s="106">
        <v>9.6</v>
      </c>
      <c r="N452" s="106">
        <f t="shared" ref="N452:N453" si="429">M452*G452</f>
        <v>17.166</v>
      </c>
      <c r="O452" s="106">
        <f t="shared" ref="O452:O453" si="430">L452+N452</f>
        <v>46.893578124999998</v>
      </c>
      <c r="P452" s="108"/>
    </row>
    <row r="453" spans="1:16" s="177" customFormat="1" x14ac:dyDescent="0.25">
      <c r="A453" s="109">
        <f>IF(G453&lt;&gt;"",1+MAX($A$13:A452),"")</f>
        <v>289</v>
      </c>
      <c r="B453" s="178" t="s">
        <v>381</v>
      </c>
      <c r="C453" s="178" t="s">
        <v>50</v>
      </c>
      <c r="D453" s="113" t="s">
        <v>342</v>
      </c>
      <c r="E453" s="112">
        <f>E451/1.33</f>
        <v>21.511278195488721</v>
      </c>
      <c r="F453" s="107">
        <f>VLOOKUP(H453,'PROJECT SUMMARY'!$C$26:$D$32,2,0)</f>
        <v>0</v>
      </c>
      <c r="G453" s="112">
        <f t="shared" si="426"/>
        <v>21.511278195488721</v>
      </c>
      <c r="H453" s="178" t="s">
        <v>10</v>
      </c>
      <c r="I453" s="110">
        <v>0.42000000000000004</v>
      </c>
      <c r="J453" s="80">
        <f t="shared" si="427"/>
        <v>9.0347368421052643</v>
      </c>
      <c r="K453" s="106">
        <v>47.5</v>
      </c>
      <c r="L453" s="106">
        <f t="shared" si="428"/>
        <v>429.15000000000003</v>
      </c>
      <c r="M453" s="106">
        <v>18.600000000000001</v>
      </c>
      <c r="N453" s="106">
        <f t="shared" si="429"/>
        <v>400.10977443609022</v>
      </c>
      <c r="O453" s="106">
        <f t="shared" si="430"/>
        <v>829.25977443609031</v>
      </c>
      <c r="P453" s="108"/>
    </row>
    <row r="454" spans="1:16" s="177" customFormat="1" x14ac:dyDescent="0.25">
      <c r="A454" s="109">
        <f>IF(G454&lt;&gt;"",1+MAX($A$13:A453),"")</f>
        <v>290</v>
      </c>
      <c r="B454" s="178" t="s">
        <v>381</v>
      </c>
      <c r="C454" s="178" t="s">
        <v>50</v>
      </c>
      <c r="D454" s="113" t="s">
        <v>343</v>
      </c>
      <c r="E454" s="112">
        <f>E451*3</f>
        <v>85.83</v>
      </c>
      <c r="F454" s="107">
        <f>VLOOKUP(H454,'PROJECT SUMMARY'!$C$26:$D$32,2,0)</f>
        <v>0.05</v>
      </c>
      <c r="G454" s="112">
        <f t="shared" si="426"/>
        <v>90.121499999999997</v>
      </c>
      <c r="H454" s="178" t="s">
        <v>11</v>
      </c>
      <c r="I454" s="110">
        <v>3.5000000000000003E-2</v>
      </c>
      <c r="J454" s="80">
        <f t="shared" ref="J452:J455" si="431">I454*G454</f>
        <v>3.1542525000000001</v>
      </c>
      <c r="K454" s="106">
        <v>47.5</v>
      </c>
      <c r="L454" s="106">
        <f t="shared" ref="L452:L455" si="432">K454*J454</f>
        <v>149.82699375000001</v>
      </c>
      <c r="M454" s="106">
        <v>1.55</v>
      </c>
      <c r="N454" s="106">
        <f t="shared" ref="N452:N455" si="433">M454*G454</f>
        <v>139.68832499999999</v>
      </c>
      <c r="O454" s="106">
        <f t="shared" ref="O452:O455" si="434">L454+N454</f>
        <v>289.51531875000001</v>
      </c>
      <c r="P454" s="108"/>
    </row>
    <row r="455" spans="1:16" s="177" customFormat="1" x14ac:dyDescent="0.25">
      <c r="A455" s="109">
        <f>IF(G455&lt;&gt;"",1+MAX($A$13:A454),"")</f>
        <v>291</v>
      </c>
      <c r="B455" s="178" t="s">
        <v>381</v>
      </c>
      <c r="C455" s="178" t="s">
        <v>50</v>
      </c>
      <c r="D455" s="113" t="s">
        <v>70</v>
      </c>
      <c r="E455" s="112">
        <f>E451*4</f>
        <v>114.44</v>
      </c>
      <c r="F455" s="107">
        <f>VLOOKUP(H455,'PROJECT SUMMARY'!$C$26:$D$32,2,0)</f>
        <v>0.05</v>
      </c>
      <c r="G455" s="112">
        <f t="shared" si="426"/>
        <v>120.16200000000001</v>
      </c>
      <c r="H455" s="178" t="s">
        <v>11</v>
      </c>
      <c r="I455" s="110">
        <v>7.0000000000000001E-3</v>
      </c>
      <c r="J455" s="80">
        <f t="shared" si="431"/>
        <v>0.84113400000000005</v>
      </c>
      <c r="K455" s="106">
        <v>47.5</v>
      </c>
      <c r="L455" s="106">
        <f t="shared" si="432"/>
        <v>39.953865</v>
      </c>
      <c r="M455" s="106">
        <v>0.15</v>
      </c>
      <c r="N455" s="106">
        <f t="shared" si="433"/>
        <v>18.0243</v>
      </c>
      <c r="O455" s="106">
        <f t="shared" si="434"/>
        <v>57.978165000000004</v>
      </c>
      <c r="P455" s="108"/>
    </row>
    <row r="456" spans="1:16" x14ac:dyDescent="0.25">
      <c r="A456" s="109" t="str">
        <f>IF(G456&lt;&gt;"",1+MAX($A$13:A455),"")</f>
        <v/>
      </c>
      <c r="D456" s="59"/>
      <c r="H456" s="82"/>
      <c r="I456" s="62"/>
      <c r="J456" s="80"/>
      <c r="P456" s="46"/>
    </row>
    <row r="457" spans="1:16" x14ac:dyDescent="0.25">
      <c r="A457" s="109">
        <f>IF(G457&lt;&gt;"",1+MAX($A$13:A456),"")</f>
        <v>292</v>
      </c>
      <c r="C457" s="16" t="s">
        <v>50</v>
      </c>
      <c r="D457" s="59" t="s">
        <v>71</v>
      </c>
      <c r="E457" s="31">
        <f>741*24</f>
        <v>17784</v>
      </c>
      <c r="F457" s="39">
        <f>VLOOKUP(H457,'PROJECT SUMMARY'!$C$26:$D$32,2,0)</f>
        <v>0.05</v>
      </c>
      <c r="G457" s="31">
        <f>E457*(1+F457)</f>
        <v>18673.2</v>
      </c>
      <c r="H457" s="82" t="s">
        <v>11</v>
      </c>
      <c r="I457" s="110">
        <v>1.4999999999999999E-2</v>
      </c>
      <c r="J457" s="80">
        <f>I457*G457</f>
        <v>280.09800000000001</v>
      </c>
      <c r="K457" s="106">
        <v>47.5</v>
      </c>
      <c r="L457" s="106">
        <f>K457*J457</f>
        <v>13304.655000000001</v>
      </c>
      <c r="M457" s="106">
        <v>1.4999999999999999E-2</v>
      </c>
      <c r="N457" s="106">
        <f>M457*G457</f>
        <v>280.09800000000001</v>
      </c>
      <c r="O457" s="106">
        <f>L457+N457</f>
        <v>13584.753000000001</v>
      </c>
      <c r="P457" s="46"/>
    </row>
    <row r="458" spans="1:16" x14ac:dyDescent="0.25">
      <c r="A458" s="109">
        <f>IF(G458&lt;&gt;"",1+MAX($A$13:A457),"")</f>
        <v>293</v>
      </c>
      <c r="C458" s="16" t="s">
        <v>50</v>
      </c>
      <c r="D458" s="59" t="s">
        <v>72</v>
      </c>
      <c r="E458" s="31">
        <f>741*0.053*32</f>
        <v>1256.7359999999999</v>
      </c>
      <c r="F458" s="39">
        <f>VLOOKUP(H458,'PROJECT SUMMARY'!$C$26:$D$32,2,0)</f>
        <v>0.05</v>
      </c>
      <c r="G458" s="31">
        <f>E458*(1+F458)</f>
        <v>1319.5727999999999</v>
      </c>
      <c r="H458" s="82" t="s">
        <v>14</v>
      </c>
      <c r="I458" s="110">
        <v>0.22</v>
      </c>
      <c r="J458" s="80">
        <f>I458*G458</f>
        <v>290.306016</v>
      </c>
      <c r="K458" s="106">
        <v>47.5</v>
      </c>
      <c r="L458" s="106">
        <f>K458*J458</f>
        <v>13789.535760000001</v>
      </c>
      <c r="M458" s="106">
        <v>0.66</v>
      </c>
      <c r="N458" s="106">
        <f>M458*G458</f>
        <v>870.918048</v>
      </c>
      <c r="O458" s="106">
        <f>L458+N458</f>
        <v>14660.453808</v>
      </c>
      <c r="P458" s="46"/>
    </row>
    <row r="459" spans="1:16" x14ac:dyDescent="0.25">
      <c r="A459" s="109">
        <f>IF(G459&lt;&gt;"",1+MAX($A$13:A458),"")</f>
        <v>294</v>
      </c>
      <c r="C459" s="16" t="s">
        <v>50</v>
      </c>
      <c r="D459" s="59" t="s">
        <v>73</v>
      </c>
      <c r="E459" s="31">
        <f>741*45</f>
        <v>33345</v>
      </c>
      <c r="F459" s="39">
        <f>VLOOKUP(H459,'PROJECT SUMMARY'!$C$26:$D$32,2,0)</f>
        <v>0</v>
      </c>
      <c r="G459" s="31">
        <f>E459*(1+F459)</f>
        <v>33345</v>
      </c>
      <c r="H459" s="82" t="s">
        <v>10</v>
      </c>
      <c r="I459" s="110">
        <v>1E-3</v>
      </c>
      <c r="J459" s="80">
        <f>I459*G459</f>
        <v>33.344999999999999</v>
      </c>
      <c r="K459" s="106">
        <v>47.5</v>
      </c>
      <c r="L459" s="106">
        <f>K459*J459</f>
        <v>1583.8875</v>
      </c>
      <c r="M459" s="106">
        <v>0.02</v>
      </c>
      <c r="N459" s="106">
        <f>M459*G459</f>
        <v>666.9</v>
      </c>
      <c r="O459" s="106">
        <f>L459+N459</f>
        <v>2250.7874999999999</v>
      </c>
      <c r="P459" s="46"/>
    </row>
    <row r="460" spans="1:16" x14ac:dyDescent="0.25">
      <c r="A460" s="109" t="str">
        <f>IF(G460&lt;&gt;"",1+MAX($A$13:A459),"")</f>
        <v/>
      </c>
      <c r="D460" s="59"/>
      <c r="H460" s="82"/>
      <c r="I460" s="62"/>
      <c r="J460" s="80"/>
      <c r="P460" s="46"/>
    </row>
    <row r="461" spans="1:16" x14ac:dyDescent="0.25">
      <c r="A461" s="109" t="str">
        <f>IF(G461&lt;&gt;"",1+MAX($A$13:A460),"")</f>
        <v/>
      </c>
      <c r="D461" s="58" t="s">
        <v>77</v>
      </c>
      <c r="H461" s="82"/>
      <c r="I461" s="62"/>
      <c r="J461" s="80"/>
      <c r="P461" s="46"/>
    </row>
    <row r="462" spans="1:16" x14ac:dyDescent="0.25">
      <c r="A462" s="109">
        <f>IF(G462&lt;&gt;"",1+MAX($A$13:A461),"")</f>
        <v>295</v>
      </c>
      <c r="B462" s="16" t="s">
        <v>392</v>
      </c>
      <c r="C462" s="16" t="s">
        <v>50</v>
      </c>
      <c r="D462" s="113" t="s">
        <v>77</v>
      </c>
      <c r="E462" s="112">
        <v>1463.42</v>
      </c>
      <c r="F462" s="39">
        <f>VLOOKUP(H462,'PROJECT SUMMARY'!$C$26:$D$32,2,0)</f>
        <v>0.05</v>
      </c>
      <c r="G462" s="31">
        <f>E462*(1+F462)</f>
        <v>1536.5910000000001</v>
      </c>
      <c r="H462" s="82" t="s">
        <v>11</v>
      </c>
      <c r="I462" s="110">
        <v>0.04</v>
      </c>
      <c r="J462" s="80">
        <f t="shared" ref="J462" si="435">I462*G462</f>
        <v>61.463640000000005</v>
      </c>
      <c r="K462" s="106">
        <v>47.5</v>
      </c>
      <c r="L462" s="106">
        <f t="shared" ref="L462" si="436">K462*J462</f>
        <v>2919.5229000000004</v>
      </c>
      <c r="M462" s="106">
        <v>1.85</v>
      </c>
      <c r="N462" s="106">
        <f>M462*G462</f>
        <v>2842.6933500000005</v>
      </c>
      <c r="O462" s="106">
        <f>L462+N462</f>
        <v>5762.2162500000013</v>
      </c>
      <c r="P462" s="46"/>
    </row>
    <row r="463" spans="1:16" x14ac:dyDescent="0.25">
      <c r="A463" s="109" t="str">
        <f>IF(G463&lt;&gt;"",1+MAX($A$13:A462),"")</f>
        <v/>
      </c>
      <c r="D463" s="59"/>
      <c r="H463" s="82"/>
      <c r="I463" s="110"/>
      <c r="J463" s="80"/>
      <c r="K463" s="106"/>
      <c r="L463" s="106"/>
      <c r="M463" s="106"/>
      <c r="N463" s="106"/>
      <c r="O463" s="106"/>
      <c r="P463" s="46"/>
    </row>
    <row r="464" spans="1:16" x14ac:dyDescent="0.25">
      <c r="A464" s="109" t="str">
        <f>IF(G464&lt;&gt;"",1+MAX($A$13:A463),"")</f>
        <v/>
      </c>
      <c r="D464" s="58" t="s">
        <v>55</v>
      </c>
      <c r="H464" s="82"/>
      <c r="I464" s="110"/>
      <c r="J464" s="80"/>
      <c r="K464" s="106"/>
      <c r="L464" s="106"/>
      <c r="M464" s="106"/>
      <c r="N464" s="106"/>
      <c r="O464" s="106"/>
      <c r="P464" s="46"/>
    </row>
    <row r="465" spans="1:16" x14ac:dyDescent="0.25">
      <c r="A465" s="109">
        <f>IF(G465&lt;&gt;"",1+MAX($A$13:A464),"")</f>
        <v>296</v>
      </c>
      <c r="B465" s="16" t="s">
        <v>393</v>
      </c>
      <c r="C465" s="16" t="s">
        <v>50</v>
      </c>
      <c r="D465" s="113" t="s">
        <v>280</v>
      </c>
      <c r="E465" s="112">
        <f>8798.24/32</f>
        <v>274.94499999999999</v>
      </c>
      <c r="F465" s="39">
        <f>VLOOKUP(H465,'PROJECT SUMMARY'!$C$26:$D$32,2,0)</f>
        <v>0</v>
      </c>
      <c r="G465" s="31">
        <f>E465*(1+F465)</f>
        <v>274.94499999999999</v>
      </c>
      <c r="H465" s="82" t="s">
        <v>10</v>
      </c>
      <c r="I465" s="110">
        <v>0.35</v>
      </c>
      <c r="J465" s="80">
        <f>I465*G465</f>
        <v>96.230749999999986</v>
      </c>
      <c r="K465" s="106">
        <v>47.5</v>
      </c>
      <c r="L465" s="106">
        <f>K465*J465</f>
        <v>4570.9606249999997</v>
      </c>
      <c r="M465" s="106">
        <v>10.82</v>
      </c>
      <c r="N465" s="106">
        <f>M465*G465</f>
        <v>2974.9049</v>
      </c>
      <c r="O465" s="106">
        <f>L465+N465</f>
        <v>7545.8655249999993</v>
      </c>
      <c r="P465" s="46"/>
    </row>
    <row r="466" spans="1:16" s="158" customFormat="1" x14ac:dyDescent="0.25">
      <c r="A466" s="109">
        <f>IF(G466&lt;&gt;"",1+MAX($A$13:A465),"")</f>
        <v>297</v>
      </c>
      <c r="B466" s="178" t="s">
        <v>393</v>
      </c>
      <c r="C466" s="159" t="s">
        <v>50</v>
      </c>
      <c r="D466" s="113" t="s">
        <v>279</v>
      </c>
      <c r="E466" s="112">
        <f>(90.33+117.28)/32</f>
        <v>6.4878125000000004</v>
      </c>
      <c r="F466" s="107">
        <f>VLOOKUP(H466,'PROJECT SUMMARY'!$C$26:$D$32,2,0)</f>
        <v>0</v>
      </c>
      <c r="G466" s="112">
        <f t="shared" ref="G466:G468" si="437">E466*(1+F466)</f>
        <v>6.4878125000000004</v>
      </c>
      <c r="H466" s="160" t="s">
        <v>10</v>
      </c>
      <c r="I466" s="110">
        <v>0.35</v>
      </c>
      <c r="J466" s="80">
        <f>I466*G466</f>
        <v>2.270734375</v>
      </c>
      <c r="K466" s="106">
        <v>47.5</v>
      </c>
      <c r="L466" s="106">
        <f>K466*J466</f>
        <v>107.8598828125</v>
      </c>
      <c r="M466" s="106">
        <v>9.5500000000000007</v>
      </c>
      <c r="N466" s="106">
        <f t="shared" ref="N466:N468" si="438">M466*G466</f>
        <v>61.958609375000009</v>
      </c>
      <c r="O466" s="106">
        <f t="shared" ref="O466:O468" si="439">L466+N466</f>
        <v>169.8184921875</v>
      </c>
      <c r="P466" s="108"/>
    </row>
    <row r="467" spans="1:16" s="158" customFormat="1" x14ac:dyDescent="0.25">
      <c r="A467" s="109" t="str">
        <f>IF(G467&lt;&gt;"",1+MAX($A$13:A466),"")</f>
        <v/>
      </c>
      <c r="B467" s="159"/>
      <c r="C467" s="159"/>
      <c r="D467" s="113"/>
      <c r="E467" s="112"/>
      <c r="F467" s="107"/>
      <c r="G467" s="112"/>
      <c r="H467" s="159"/>
      <c r="I467" s="110"/>
      <c r="J467" s="80"/>
      <c r="K467" s="106"/>
      <c r="L467" s="106"/>
      <c r="M467" s="106"/>
      <c r="N467" s="106"/>
      <c r="O467" s="106"/>
      <c r="P467" s="108"/>
    </row>
    <row r="468" spans="1:16" s="158" customFormat="1" ht="31.5" x14ac:dyDescent="0.25">
      <c r="A468" s="109">
        <f>IF(G468&lt;&gt;"",1+MAX($A$13:A467),"")</f>
        <v>298</v>
      </c>
      <c r="B468" s="178" t="s">
        <v>393</v>
      </c>
      <c r="C468" s="159" t="s">
        <v>50</v>
      </c>
      <c r="D468" s="113" t="s">
        <v>278</v>
      </c>
      <c r="E468" s="112">
        <v>4085.62</v>
      </c>
      <c r="F468" s="107">
        <f>VLOOKUP(H468,'PROJECT SUMMARY'!$C$26:$D$32,2,0)</f>
        <v>0.05</v>
      </c>
      <c r="G468" s="112">
        <f t="shared" si="437"/>
        <v>4289.9009999999998</v>
      </c>
      <c r="H468" s="159" t="s">
        <v>12</v>
      </c>
      <c r="I468" s="110">
        <v>0.05</v>
      </c>
      <c r="J468" s="80">
        <f t="shared" ref="J468" si="440">I468*G468</f>
        <v>214.49504999999999</v>
      </c>
      <c r="K468" s="106">
        <v>47.5</v>
      </c>
      <c r="L468" s="106">
        <f t="shared" ref="L468" si="441">K468*J468</f>
        <v>10188.514874999999</v>
      </c>
      <c r="M468" s="106">
        <v>9.24</v>
      </c>
      <c r="N468" s="106">
        <f t="shared" si="438"/>
        <v>39638.685239999999</v>
      </c>
      <c r="O468" s="106">
        <f t="shared" si="439"/>
        <v>49827.200115</v>
      </c>
      <c r="P468" s="108"/>
    </row>
    <row r="469" spans="1:16" s="81" customFormat="1" x14ac:dyDescent="0.25">
      <c r="A469" s="109" t="str">
        <f>IF(G469&lt;&gt;"",1+MAX($A$13:A468),"")</f>
        <v/>
      </c>
      <c r="B469" s="82"/>
      <c r="C469" s="82"/>
      <c r="D469" s="113"/>
      <c r="E469" s="112"/>
      <c r="F469" s="39"/>
      <c r="G469" s="31"/>
      <c r="H469" s="82"/>
      <c r="I469" s="110"/>
      <c r="J469" s="80"/>
      <c r="K469" s="106"/>
      <c r="L469" s="106"/>
      <c r="M469" s="106"/>
      <c r="N469" s="106"/>
      <c r="O469" s="106"/>
      <c r="P469" s="46"/>
    </row>
    <row r="470" spans="1:16" x14ac:dyDescent="0.25">
      <c r="A470" s="109">
        <f>IF(G470&lt;&gt;"",1+MAX($A$13:A469),"")</f>
        <v>299</v>
      </c>
      <c r="B470" s="178" t="s">
        <v>393</v>
      </c>
      <c r="C470" s="16" t="s">
        <v>50</v>
      </c>
      <c r="D470" s="113" t="s">
        <v>238</v>
      </c>
      <c r="E470" s="112">
        <f>(1700+4086)/1.33</f>
        <v>4350.375939849624</v>
      </c>
      <c r="F470" s="39">
        <f>VLOOKUP(H470,'PROJECT SUMMARY'!$C$26:$D$32,2,0)</f>
        <v>0.05</v>
      </c>
      <c r="G470" s="31">
        <f>E470*(1+F470)</f>
        <v>4567.8947368421059</v>
      </c>
      <c r="H470" s="82" t="s">
        <v>11</v>
      </c>
      <c r="I470" s="110">
        <v>3.5000000000000003E-2</v>
      </c>
      <c r="J470" s="80">
        <f t="shared" ref="J470:J471" si="442">I470*G470</f>
        <v>159.87631578947372</v>
      </c>
      <c r="K470" s="106">
        <v>47.5</v>
      </c>
      <c r="L470" s="106">
        <f t="shared" ref="L470:L471" si="443">K470*J470</f>
        <v>7594.1250000000018</v>
      </c>
      <c r="M470" s="106">
        <v>1.55</v>
      </c>
      <c r="N470" s="106">
        <f>M470*G470</f>
        <v>7080.2368421052643</v>
      </c>
      <c r="O470" s="106">
        <f>L470+N470</f>
        <v>14674.361842105267</v>
      </c>
      <c r="P470" s="46"/>
    </row>
    <row r="471" spans="1:16" s="81" customFormat="1" x14ac:dyDescent="0.25">
      <c r="A471" s="109">
        <f>IF(G471&lt;&gt;"",1+MAX($A$13:A470),"")</f>
        <v>300</v>
      </c>
      <c r="B471" s="178" t="s">
        <v>393</v>
      </c>
      <c r="C471" s="82" t="s">
        <v>50</v>
      </c>
      <c r="D471" s="113" t="s">
        <v>237</v>
      </c>
      <c r="E471" s="112">
        <f>4087/1.33</f>
        <v>3072.9323308270673</v>
      </c>
      <c r="F471" s="39">
        <f>VLOOKUP(H471,'PROJECT SUMMARY'!$C$26:$D$32,2,0)</f>
        <v>0.05</v>
      </c>
      <c r="G471" s="31">
        <f>E471*(1+F471)</f>
        <v>3226.5789473684208</v>
      </c>
      <c r="H471" s="82" t="s">
        <v>11</v>
      </c>
      <c r="I471" s="110">
        <v>3.5000000000000003E-2</v>
      </c>
      <c r="J471" s="80">
        <f t="shared" si="442"/>
        <v>112.93026315789474</v>
      </c>
      <c r="K471" s="106">
        <v>47.5</v>
      </c>
      <c r="L471" s="106">
        <f t="shared" si="443"/>
        <v>5364.1875</v>
      </c>
      <c r="M471" s="106">
        <v>0.88</v>
      </c>
      <c r="N471" s="106">
        <f>M471*G471</f>
        <v>2839.3894736842103</v>
      </c>
      <c r="O471" s="106">
        <f>L471+N471</f>
        <v>8203.5769736842103</v>
      </c>
      <c r="P471" s="46"/>
    </row>
    <row r="472" spans="1:16" x14ac:dyDescent="0.25">
      <c r="A472" s="109" t="str">
        <f>IF(G472&lt;&gt;"",1+MAX($A$13:A471),"")</f>
        <v/>
      </c>
      <c r="H472" s="82"/>
      <c r="I472" s="62"/>
      <c r="J472" s="80"/>
      <c r="P472" s="46"/>
    </row>
    <row r="473" spans="1:16" x14ac:dyDescent="0.25">
      <c r="A473" s="109" t="str">
        <f>IF(G473&lt;&gt;"",1+MAX($A$13:A472),"")</f>
        <v/>
      </c>
      <c r="D473" s="58" t="s">
        <v>53</v>
      </c>
      <c r="H473" s="82"/>
      <c r="I473" s="62"/>
      <c r="J473" s="80"/>
      <c r="P473" s="46"/>
    </row>
    <row r="474" spans="1:16" x14ac:dyDescent="0.25">
      <c r="A474" s="109">
        <f>IF(G474&lt;&gt;"",1+MAX($A$13:A473),"")</f>
        <v>301</v>
      </c>
      <c r="B474" s="82" t="s">
        <v>394</v>
      </c>
      <c r="C474" s="16" t="s">
        <v>50</v>
      </c>
      <c r="D474" s="113" t="s">
        <v>98</v>
      </c>
      <c r="E474" s="112">
        <v>777.11</v>
      </c>
      <c r="F474" s="39">
        <f>VLOOKUP(H474,'PROJECT SUMMARY'!$C$26:$D$32,2,0)</f>
        <v>0.05</v>
      </c>
      <c r="G474" s="31">
        <f>E474*(1+F474)</f>
        <v>815.96550000000002</v>
      </c>
      <c r="H474" s="82" t="s">
        <v>12</v>
      </c>
      <c r="I474" s="110">
        <v>2.5000000000000001E-2</v>
      </c>
      <c r="J474" s="80">
        <f>I474*G474</f>
        <v>20.399137500000002</v>
      </c>
      <c r="K474" s="106">
        <v>87.25</v>
      </c>
      <c r="L474" s="106">
        <f>K474*J474</f>
        <v>1779.8247468750001</v>
      </c>
      <c r="M474" s="106">
        <v>1.65</v>
      </c>
      <c r="N474" s="106">
        <f>M474*G474</f>
        <v>1346.343075</v>
      </c>
      <c r="O474" s="106">
        <f>L474+N474</f>
        <v>3126.1678218750003</v>
      </c>
      <c r="P474" s="46"/>
    </row>
    <row r="475" spans="1:16" s="81" customFormat="1" ht="63" x14ac:dyDescent="0.25">
      <c r="A475" s="109">
        <f>IF(G475&lt;&gt;"",1+MAX($A$13:A474),"")</f>
        <v>302</v>
      </c>
      <c r="B475" s="82" t="s">
        <v>395</v>
      </c>
      <c r="C475" s="82" t="s">
        <v>50</v>
      </c>
      <c r="D475" s="113" t="s">
        <v>282</v>
      </c>
      <c r="E475" s="112">
        <v>1531.26</v>
      </c>
      <c r="F475" s="39">
        <f>VLOOKUP(H475,'PROJECT SUMMARY'!$C$26:$D$32,2,0)</f>
        <v>0.05</v>
      </c>
      <c r="G475" s="31">
        <f t="shared" ref="G475" si="444">E475*(1+F475)</f>
        <v>1607.8230000000001</v>
      </c>
      <c r="H475" s="82" t="s">
        <v>12</v>
      </c>
      <c r="I475" s="110">
        <v>0.05</v>
      </c>
      <c r="J475" s="80">
        <f t="shared" ref="J475" si="445">I475*G475</f>
        <v>80.39115000000001</v>
      </c>
      <c r="K475" s="106">
        <v>87.25</v>
      </c>
      <c r="L475" s="106">
        <f t="shared" ref="L475" si="446">K475*J475</f>
        <v>7014.1278375000011</v>
      </c>
      <c r="M475" s="106">
        <v>5.22</v>
      </c>
      <c r="N475" s="106">
        <f t="shared" ref="N475" si="447">M475*G475</f>
        <v>8392.8360599999996</v>
      </c>
      <c r="O475" s="106">
        <f t="shared" ref="O475" si="448">L475+N475</f>
        <v>15406.963897500002</v>
      </c>
      <c r="P475" s="46"/>
    </row>
    <row r="476" spans="1:16" x14ac:dyDescent="0.25">
      <c r="A476" s="109" t="str">
        <f>IF(G476&lt;&gt;"",1+MAX($A$13:A475),"")</f>
        <v/>
      </c>
      <c r="D476" s="59"/>
      <c r="H476" s="82"/>
      <c r="I476" s="110"/>
      <c r="J476" s="80"/>
      <c r="K476" s="106"/>
      <c r="L476" s="106"/>
      <c r="M476" s="106"/>
      <c r="N476" s="106"/>
      <c r="O476" s="106"/>
      <c r="P476" s="46"/>
    </row>
    <row r="477" spans="1:16" x14ac:dyDescent="0.25">
      <c r="A477" s="109" t="str">
        <f>IF(G477&lt;&gt;"",1+MAX($A$13:A476),"")</f>
        <v/>
      </c>
      <c r="D477" s="58" t="s">
        <v>54</v>
      </c>
      <c r="H477" s="82"/>
      <c r="I477" s="110"/>
      <c r="J477" s="80"/>
      <c r="K477" s="106"/>
      <c r="L477" s="106"/>
      <c r="M477" s="106"/>
      <c r="N477" s="106"/>
      <c r="O477" s="106"/>
      <c r="P477" s="46"/>
    </row>
    <row r="478" spans="1:16" ht="63" x14ac:dyDescent="0.25">
      <c r="A478" s="109">
        <f>IF(G478&lt;&gt;"",1+MAX($A$13:A477),"")</f>
        <v>303</v>
      </c>
      <c r="B478" s="178" t="s">
        <v>395</v>
      </c>
      <c r="C478" s="16" t="s">
        <v>50</v>
      </c>
      <c r="D478" s="113" t="s">
        <v>283</v>
      </c>
      <c r="E478" s="112">
        <v>927.61</v>
      </c>
      <c r="F478" s="39">
        <f>VLOOKUP(H478,'PROJECT SUMMARY'!$C$26:$D$32,2,0)</f>
        <v>0.05</v>
      </c>
      <c r="G478" s="31">
        <f>E478*(1+F478)</f>
        <v>973.99050000000011</v>
      </c>
      <c r="H478" s="82" t="s">
        <v>12</v>
      </c>
      <c r="I478" s="110">
        <v>0.1</v>
      </c>
      <c r="J478" s="80">
        <f>I478*G478</f>
        <v>97.399050000000017</v>
      </c>
      <c r="K478" s="106">
        <v>87.25</v>
      </c>
      <c r="L478" s="106">
        <f>K478*J478</f>
        <v>8498.0671125000008</v>
      </c>
      <c r="M478" s="106">
        <v>21.79</v>
      </c>
      <c r="N478" s="106">
        <f>M478*G478</f>
        <v>21223.252995000003</v>
      </c>
      <c r="O478" s="106">
        <f>L478+N478</f>
        <v>29721.320107500003</v>
      </c>
      <c r="P478" s="46"/>
    </row>
    <row r="479" spans="1:16" s="116" customFormat="1" ht="63" x14ac:dyDescent="0.25">
      <c r="A479" s="109">
        <f>IF(G479&lt;&gt;"",1+MAX($A$13:A478),"")</f>
        <v>304</v>
      </c>
      <c r="B479" s="178" t="s">
        <v>395</v>
      </c>
      <c r="C479" s="117" t="s">
        <v>50</v>
      </c>
      <c r="D479" s="113" t="s">
        <v>284</v>
      </c>
      <c r="E479" s="112">
        <v>499.81</v>
      </c>
      <c r="F479" s="107">
        <f>VLOOKUP(H479,'PROJECT SUMMARY'!$C$26:$D$32,2,0)</f>
        <v>0.05</v>
      </c>
      <c r="G479" s="112">
        <f t="shared" ref="G479:G483" si="449">E479*(1+F479)</f>
        <v>524.80050000000006</v>
      </c>
      <c r="H479" s="117" t="s">
        <v>12</v>
      </c>
      <c r="I479" s="110">
        <v>0.1</v>
      </c>
      <c r="J479" s="80">
        <f>I479*G479</f>
        <v>52.480050000000006</v>
      </c>
      <c r="K479" s="106">
        <v>87.25</v>
      </c>
      <c r="L479" s="106">
        <f>K479*J479</f>
        <v>4578.8843625000009</v>
      </c>
      <c r="M479" s="106">
        <v>21.79</v>
      </c>
      <c r="N479" s="106">
        <f t="shared" ref="N479:N483" si="450">M479*G479</f>
        <v>11435.402895000001</v>
      </c>
      <c r="O479" s="106">
        <f t="shared" ref="O479:O483" si="451">L479+N479</f>
        <v>16014.287257500002</v>
      </c>
      <c r="P479" s="108"/>
    </row>
    <row r="480" spans="1:16" s="116" customFormat="1" ht="63" x14ac:dyDescent="0.25">
      <c r="A480" s="109">
        <f>IF(G480&lt;&gt;"",1+MAX($A$13:A479),"")</f>
        <v>305</v>
      </c>
      <c r="B480" s="178" t="s">
        <v>395</v>
      </c>
      <c r="C480" s="117" t="s">
        <v>50</v>
      </c>
      <c r="D480" s="113" t="s">
        <v>285</v>
      </c>
      <c r="E480" s="112">
        <v>52.96</v>
      </c>
      <c r="F480" s="107">
        <f>VLOOKUP(H480,'PROJECT SUMMARY'!$C$26:$D$32,2,0)</f>
        <v>0.05</v>
      </c>
      <c r="G480" s="112">
        <f t="shared" si="449"/>
        <v>55.608000000000004</v>
      </c>
      <c r="H480" s="117" t="s">
        <v>12</v>
      </c>
      <c r="I480" s="110">
        <v>0.1</v>
      </c>
      <c r="J480" s="80">
        <f t="shared" ref="J480:J483" si="452">I480*G480</f>
        <v>5.5608000000000004</v>
      </c>
      <c r="K480" s="106">
        <v>87.25</v>
      </c>
      <c r="L480" s="106">
        <f t="shared" ref="L480:L483" si="453">K480*J480</f>
        <v>485.17980000000006</v>
      </c>
      <c r="M480" s="106">
        <v>9.83</v>
      </c>
      <c r="N480" s="106">
        <f t="shared" si="450"/>
        <v>546.62664000000007</v>
      </c>
      <c r="O480" s="106">
        <f t="shared" si="451"/>
        <v>1031.8064400000001</v>
      </c>
      <c r="P480" s="108"/>
    </row>
    <row r="481" spans="1:16" s="116" customFormat="1" ht="63" x14ac:dyDescent="0.25">
      <c r="A481" s="109">
        <f>IF(G481&lt;&gt;"",1+MAX($A$13:A480),"")</f>
        <v>306</v>
      </c>
      <c r="B481" s="178" t="s">
        <v>395</v>
      </c>
      <c r="C481" s="117" t="s">
        <v>50</v>
      </c>
      <c r="D481" s="113" t="s">
        <v>286</v>
      </c>
      <c r="E481" s="112">
        <v>391.95</v>
      </c>
      <c r="F481" s="107">
        <f>VLOOKUP(H481,'PROJECT SUMMARY'!$C$26:$D$32,2,0)</f>
        <v>0.05</v>
      </c>
      <c r="G481" s="112">
        <f t="shared" si="449"/>
        <v>411.54750000000001</v>
      </c>
      <c r="H481" s="117" t="s">
        <v>12</v>
      </c>
      <c r="I481" s="110">
        <v>0.1</v>
      </c>
      <c r="J481" s="80">
        <f t="shared" si="452"/>
        <v>41.154750000000007</v>
      </c>
      <c r="K481" s="106">
        <v>87.25</v>
      </c>
      <c r="L481" s="106">
        <f t="shared" si="453"/>
        <v>3590.7519375000006</v>
      </c>
      <c r="M481" s="106">
        <v>9.83</v>
      </c>
      <c r="N481" s="106">
        <f t="shared" si="450"/>
        <v>4045.5119250000002</v>
      </c>
      <c r="O481" s="106">
        <f t="shared" si="451"/>
        <v>7636.2638625000009</v>
      </c>
      <c r="P481" s="108"/>
    </row>
    <row r="482" spans="1:16" s="116" customFormat="1" ht="63" x14ac:dyDescent="0.25">
      <c r="A482" s="109">
        <f>IF(G482&lt;&gt;"",1+MAX($A$13:A481),"")</f>
        <v>307</v>
      </c>
      <c r="B482" s="178" t="s">
        <v>395</v>
      </c>
      <c r="C482" s="117" t="s">
        <v>50</v>
      </c>
      <c r="D482" s="113" t="s">
        <v>287</v>
      </c>
      <c r="E482" s="112">
        <v>2030.94</v>
      </c>
      <c r="F482" s="107">
        <f>VLOOKUP(H482,'PROJECT SUMMARY'!$C$26:$D$32,2,0)</f>
        <v>0.05</v>
      </c>
      <c r="G482" s="112">
        <f t="shared" si="449"/>
        <v>2132.4870000000001</v>
      </c>
      <c r="H482" s="117" t="s">
        <v>12</v>
      </c>
      <c r="I482" s="110">
        <v>0.1</v>
      </c>
      <c r="J482" s="80">
        <f t="shared" si="452"/>
        <v>213.24870000000001</v>
      </c>
      <c r="K482" s="106">
        <v>87.25</v>
      </c>
      <c r="L482" s="106">
        <f t="shared" si="453"/>
        <v>18605.949075</v>
      </c>
      <c r="M482" s="106">
        <v>9.83</v>
      </c>
      <c r="N482" s="106">
        <f t="shared" si="450"/>
        <v>20962.34721</v>
      </c>
      <c r="O482" s="106">
        <f t="shared" si="451"/>
        <v>39568.296285000004</v>
      </c>
      <c r="P482" s="108"/>
    </row>
    <row r="483" spans="1:16" s="116" customFormat="1" ht="63" x14ac:dyDescent="0.25">
      <c r="A483" s="109">
        <f>IF(G483&lt;&gt;"",1+MAX($A$13:A482),"")</f>
        <v>308</v>
      </c>
      <c r="B483" s="178" t="s">
        <v>395</v>
      </c>
      <c r="C483" s="117" t="s">
        <v>50</v>
      </c>
      <c r="D483" s="113" t="s">
        <v>288</v>
      </c>
      <c r="E483" s="112">
        <v>241.15</v>
      </c>
      <c r="F483" s="107">
        <f>VLOOKUP(H483,'PROJECT SUMMARY'!$C$26:$D$32,2,0)</f>
        <v>0.05</v>
      </c>
      <c r="G483" s="112">
        <f t="shared" si="449"/>
        <v>253.20750000000001</v>
      </c>
      <c r="H483" s="117" t="s">
        <v>12</v>
      </c>
      <c r="I483" s="110">
        <v>0.1</v>
      </c>
      <c r="J483" s="80">
        <f t="shared" si="452"/>
        <v>25.320750000000004</v>
      </c>
      <c r="K483" s="106">
        <v>87.25</v>
      </c>
      <c r="L483" s="106">
        <f t="shared" si="453"/>
        <v>2209.2354375000004</v>
      </c>
      <c r="M483" s="106">
        <v>9.83</v>
      </c>
      <c r="N483" s="106">
        <f t="shared" si="450"/>
        <v>2489.0297250000003</v>
      </c>
      <c r="O483" s="106">
        <f t="shared" si="451"/>
        <v>4698.2651625000008</v>
      </c>
      <c r="P483" s="108"/>
    </row>
    <row r="484" spans="1:16" x14ac:dyDescent="0.25">
      <c r="A484" s="109" t="str">
        <f>IF(G484&lt;&gt;"",1+MAX($A$13:A483),"")</f>
        <v/>
      </c>
      <c r="D484" s="59"/>
      <c r="H484" s="82"/>
      <c r="I484" s="62"/>
      <c r="J484" s="80"/>
      <c r="P484" s="46"/>
    </row>
    <row r="485" spans="1:16" x14ac:dyDescent="0.25">
      <c r="A485" s="109" t="str">
        <f>IF(G485&lt;&gt;"",1+MAX($A$13:A484),"")</f>
        <v/>
      </c>
      <c r="D485" s="58" t="s">
        <v>58</v>
      </c>
      <c r="H485" s="82"/>
      <c r="I485" s="62"/>
      <c r="J485" s="80"/>
      <c r="P485" s="46"/>
    </row>
    <row r="486" spans="1:16" ht="47.25" x14ac:dyDescent="0.25">
      <c r="A486" s="109">
        <f>IF(G486&lt;&gt;"",1+MAX($A$13:A485),"")</f>
        <v>309</v>
      </c>
      <c r="B486" s="16" t="s">
        <v>396</v>
      </c>
      <c r="C486" s="16" t="s">
        <v>50</v>
      </c>
      <c r="D486" s="113" t="s">
        <v>289</v>
      </c>
      <c r="E486" s="112">
        <f>485.27+(5.36*9.83)</f>
        <v>537.9588</v>
      </c>
      <c r="F486" s="39">
        <f>VLOOKUP(H486,'PROJECT SUMMARY'!$C$26:$D$32,2,0)</f>
        <v>0.05</v>
      </c>
      <c r="G486" s="31">
        <f>E486*(1+F486)</f>
        <v>564.85674000000006</v>
      </c>
      <c r="H486" s="82" t="s">
        <v>12</v>
      </c>
      <c r="I486" s="110">
        <v>0.1</v>
      </c>
      <c r="J486" s="80">
        <f>I486*G486</f>
        <v>56.48567400000001</v>
      </c>
      <c r="K486" s="106">
        <v>87.25</v>
      </c>
      <c r="L486" s="106">
        <f>K486*J486</f>
        <v>4928.3750565000009</v>
      </c>
      <c r="M486" s="106">
        <v>21.79</v>
      </c>
      <c r="N486" s="106">
        <f>M486*G486</f>
        <v>12308.228364600001</v>
      </c>
      <c r="O486" s="106">
        <f>L486+N486</f>
        <v>17236.603421100001</v>
      </c>
      <c r="P486" s="46"/>
    </row>
    <row r="487" spans="1:16" s="161" customFormat="1" ht="63" x14ac:dyDescent="0.25">
      <c r="A487" s="109">
        <f>IF(G487&lt;&gt;"",1+MAX($A$13:A486),"")</f>
        <v>310</v>
      </c>
      <c r="B487" s="178" t="s">
        <v>396</v>
      </c>
      <c r="C487" s="162" t="s">
        <v>50</v>
      </c>
      <c r="D487" s="113" t="s">
        <v>290</v>
      </c>
      <c r="E487" s="112">
        <v>10</v>
      </c>
      <c r="F487" s="107">
        <f>VLOOKUP(H487,'PROJECT SUMMARY'!$C$26:$D$32,2,0)</f>
        <v>0.05</v>
      </c>
      <c r="G487" s="112">
        <f>E487*(1+F487)</f>
        <v>10.5</v>
      </c>
      <c r="H487" s="162" t="s">
        <v>12</v>
      </c>
      <c r="I487" s="110">
        <v>0.1</v>
      </c>
      <c r="J487" s="80">
        <f t="shared" ref="J487:J490" si="454">I487*G487</f>
        <v>1.05</v>
      </c>
      <c r="K487" s="106">
        <v>87.25</v>
      </c>
      <c r="L487" s="106">
        <f t="shared" ref="L487:L490" si="455">K487*J487</f>
        <v>91.612499999999997</v>
      </c>
      <c r="M487" s="106">
        <v>9.83</v>
      </c>
      <c r="N487" s="106">
        <f>M487*G487</f>
        <v>103.215</v>
      </c>
      <c r="O487" s="106">
        <f>L487+N487</f>
        <v>194.82749999999999</v>
      </c>
      <c r="P487" s="108"/>
    </row>
    <row r="488" spans="1:16" s="81" customFormat="1" ht="63" x14ac:dyDescent="0.25">
      <c r="A488" s="109">
        <f>IF(G488&lt;&gt;"",1+MAX($A$13:A487),"")</f>
        <v>311</v>
      </c>
      <c r="B488" s="178" t="s">
        <v>396</v>
      </c>
      <c r="C488" s="82" t="s">
        <v>50</v>
      </c>
      <c r="D488" s="113" t="s">
        <v>291</v>
      </c>
      <c r="E488" s="112">
        <v>89.04</v>
      </c>
      <c r="F488" s="39">
        <f>VLOOKUP(H488,'PROJECT SUMMARY'!$C$26:$D$32,2,0)</f>
        <v>0.05</v>
      </c>
      <c r="G488" s="31">
        <f>E488*(1+F488)</f>
        <v>93.492000000000004</v>
      </c>
      <c r="H488" s="82" t="s">
        <v>12</v>
      </c>
      <c r="I488" s="110">
        <v>0.1</v>
      </c>
      <c r="J488" s="80">
        <f t="shared" si="454"/>
        <v>9.3492000000000015</v>
      </c>
      <c r="K488" s="106">
        <v>87.25</v>
      </c>
      <c r="L488" s="106">
        <f t="shared" si="455"/>
        <v>815.71770000000015</v>
      </c>
      <c r="M488" s="106">
        <v>9.83</v>
      </c>
      <c r="N488" s="106">
        <f>M488*G488</f>
        <v>919.02636000000007</v>
      </c>
      <c r="O488" s="106">
        <f>L488+N488</f>
        <v>1734.7440600000002</v>
      </c>
      <c r="P488" s="46"/>
    </row>
    <row r="489" spans="1:16" s="81" customFormat="1" ht="63" x14ac:dyDescent="0.25">
      <c r="A489" s="109">
        <f>IF(G489&lt;&gt;"",1+MAX($A$13:A488),"")</f>
        <v>312</v>
      </c>
      <c r="B489" s="178" t="s">
        <v>396</v>
      </c>
      <c r="C489" s="82" t="s">
        <v>50</v>
      </c>
      <c r="D489" s="113" t="s">
        <v>292</v>
      </c>
      <c r="E489" s="112">
        <v>12.18</v>
      </c>
      <c r="F489" s="39">
        <f>VLOOKUP(H489,'PROJECT SUMMARY'!$C$26:$D$32,2,0)</f>
        <v>0.05</v>
      </c>
      <c r="G489" s="31">
        <f>E489*(1+F489)</f>
        <v>12.789</v>
      </c>
      <c r="H489" s="82" t="s">
        <v>12</v>
      </c>
      <c r="I489" s="110">
        <v>0.1</v>
      </c>
      <c r="J489" s="80">
        <f t="shared" si="454"/>
        <v>1.2789000000000001</v>
      </c>
      <c r="K489" s="106">
        <v>87.25</v>
      </c>
      <c r="L489" s="106">
        <f t="shared" si="455"/>
        <v>111.58402500000001</v>
      </c>
      <c r="M489" s="106">
        <v>9.83</v>
      </c>
      <c r="N489" s="106">
        <f>M489*G489</f>
        <v>125.71587</v>
      </c>
      <c r="O489" s="106">
        <f>L489+N489</f>
        <v>237.29989499999999</v>
      </c>
      <c r="P489" s="46"/>
    </row>
    <row r="490" spans="1:16" s="81" customFormat="1" ht="63" x14ac:dyDescent="0.25">
      <c r="A490" s="109">
        <f>IF(G490&lt;&gt;"",1+MAX($A$13:A489),"")</f>
        <v>313</v>
      </c>
      <c r="B490" s="178" t="s">
        <v>396</v>
      </c>
      <c r="C490" s="82" t="s">
        <v>50</v>
      </c>
      <c r="D490" s="113" t="s">
        <v>293</v>
      </c>
      <c r="E490" s="112">
        <v>273.70999999999998</v>
      </c>
      <c r="F490" s="39">
        <f>VLOOKUP(H490,'PROJECT SUMMARY'!$C$26:$D$32,2,0)</f>
        <v>0.05</v>
      </c>
      <c r="G490" s="31">
        <f>E490*(1+F490)</f>
        <v>287.39549999999997</v>
      </c>
      <c r="H490" s="82" t="s">
        <v>12</v>
      </c>
      <c r="I490" s="110">
        <v>0.1</v>
      </c>
      <c r="J490" s="80">
        <f t="shared" si="454"/>
        <v>28.739549999999998</v>
      </c>
      <c r="K490" s="106">
        <v>87.25</v>
      </c>
      <c r="L490" s="106">
        <f t="shared" si="455"/>
        <v>2507.5257374999997</v>
      </c>
      <c r="M490" s="106">
        <v>9.83</v>
      </c>
      <c r="N490" s="106">
        <f>M490*G490</f>
        <v>2825.0977649999995</v>
      </c>
      <c r="O490" s="106">
        <f>L490+N490</f>
        <v>5332.6235024999987</v>
      </c>
      <c r="P490" s="46"/>
    </row>
    <row r="491" spans="1:16" x14ac:dyDescent="0.25">
      <c r="A491" s="109" t="str">
        <f>IF(G491&lt;&gt;"",1+MAX($A$13:A490),"")</f>
        <v/>
      </c>
      <c r="H491" s="82"/>
      <c r="I491" s="110"/>
      <c r="J491" s="80"/>
      <c r="K491" s="106"/>
      <c r="L491" s="106"/>
      <c r="M491" s="106"/>
      <c r="N491" s="106"/>
      <c r="O491" s="106"/>
      <c r="P491" s="46"/>
    </row>
    <row r="492" spans="1:16" x14ac:dyDescent="0.25">
      <c r="A492" s="109" t="str">
        <f>IF(G492&lt;&gt;"",1+MAX($A$13:A491),"")</f>
        <v/>
      </c>
      <c r="D492" s="58" t="s">
        <v>56</v>
      </c>
      <c r="H492" s="82"/>
      <c r="I492" s="110"/>
      <c r="J492" s="80"/>
      <c r="K492" s="106"/>
      <c r="L492" s="106"/>
      <c r="M492" s="106"/>
      <c r="N492" s="106"/>
      <c r="O492" s="106"/>
      <c r="P492" s="46"/>
    </row>
    <row r="493" spans="1:16" ht="63" x14ac:dyDescent="0.25">
      <c r="A493" s="109">
        <f>IF(G493&lt;&gt;"",1+MAX($A$13:A492),"")</f>
        <v>314</v>
      </c>
      <c r="B493" s="178" t="s">
        <v>395</v>
      </c>
      <c r="C493" s="16" t="s">
        <v>50</v>
      </c>
      <c r="D493" s="113" t="s">
        <v>407</v>
      </c>
      <c r="E493" s="112">
        <v>855.24</v>
      </c>
      <c r="F493" s="39">
        <f>VLOOKUP(H493,'PROJECT SUMMARY'!$C$26:$D$32,2,0)</f>
        <v>0.05</v>
      </c>
      <c r="G493" s="31">
        <f t="shared" ref="G493:G496" si="456">E493*(1+F493)</f>
        <v>898.00200000000007</v>
      </c>
      <c r="H493" s="82" t="s">
        <v>11</v>
      </c>
      <c r="I493" s="110">
        <v>2.5000000000000001E-2</v>
      </c>
      <c r="J493" s="80">
        <f t="shared" ref="J493:J496" si="457">I493*G493</f>
        <v>22.450050000000005</v>
      </c>
      <c r="K493" s="106">
        <v>87.25</v>
      </c>
      <c r="L493" s="106">
        <f t="shared" ref="L493:L496" si="458">K493*J493</f>
        <v>1958.7668625000003</v>
      </c>
      <c r="M493" s="106">
        <v>0.87</v>
      </c>
      <c r="N493" s="106">
        <f t="shared" ref="N493:N496" si="459">M493*G493</f>
        <v>781.26174000000003</v>
      </c>
      <c r="O493" s="106">
        <f t="shared" ref="O493:O496" si="460">L493+N493</f>
        <v>2740.0286025000005</v>
      </c>
      <c r="P493" s="46"/>
    </row>
    <row r="494" spans="1:16" x14ac:dyDescent="0.25">
      <c r="A494" s="109" t="str">
        <f>IF(G494&lt;&gt;"",1+MAX($A$13:A493),"")</f>
        <v/>
      </c>
      <c r="H494" s="82"/>
      <c r="I494" s="110"/>
      <c r="J494" s="80"/>
      <c r="K494" s="106"/>
      <c r="L494" s="106"/>
      <c r="M494" s="106"/>
      <c r="N494" s="106"/>
      <c r="O494" s="106"/>
      <c r="P494" s="46"/>
    </row>
    <row r="495" spans="1:16" x14ac:dyDescent="0.25">
      <c r="A495" s="109" t="str">
        <f>IF(G495&lt;&gt;"",1+MAX($A$13:A494),"")</f>
        <v/>
      </c>
      <c r="D495" s="58" t="s">
        <v>57</v>
      </c>
      <c r="H495" s="82"/>
      <c r="I495" s="110"/>
      <c r="J495" s="80"/>
      <c r="K495" s="106"/>
      <c r="L495" s="106"/>
      <c r="M495" s="106"/>
      <c r="N495" s="106"/>
      <c r="O495" s="106"/>
      <c r="P495" s="46"/>
    </row>
    <row r="496" spans="1:16" x14ac:dyDescent="0.25">
      <c r="A496" s="109">
        <f>IF(G496&lt;&gt;"",1+MAX($A$13:A495),"")</f>
        <v>315</v>
      </c>
      <c r="B496" s="178" t="s">
        <v>396</v>
      </c>
      <c r="C496" s="16" t="s">
        <v>50</v>
      </c>
      <c r="D496" s="113" t="s">
        <v>99</v>
      </c>
      <c r="E496" s="112">
        <v>79.099999999999994</v>
      </c>
      <c r="F496" s="39">
        <f>VLOOKUP(H496,'PROJECT SUMMARY'!$C$26:$D$32,2,0)</f>
        <v>0.05</v>
      </c>
      <c r="G496" s="31">
        <f t="shared" si="456"/>
        <v>83.054999999999993</v>
      </c>
      <c r="H496" s="82" t="s">
        <v>11</v>
      </c>
      <c r="I496" s="110">
        <v>3.7999999999999999E-2</v>
      </c>
      <c r="J496" s="80">
        <f t="shared" si="457"/>
        <v>3.1560899999999998</v>
      </c>
      <c r="K496" s="106">
        <v>87.25</v>
      </c>
      <c r="L496" s="106">
        <f t="shared" si="458"/>
        <v>275.3688525</v>
      </c>
      <c r="M496" s="106">
        <v>6.22</v>
      </c>
      <c r="N496" s="106">
        <f t="shared" si="459"/>
        <v>516.60209999999995</v>
      </c>
      <c r="O496" s="106">
        <f t="shared" si="460"/>
        <v>791.97095249999995</v>
      </c>
      <c r="P496" s="46"/>
    </row>
    <row r="497" spans="1:16" x14ac:dyDescent="0.25">
      <c r="A497" s="109" t="str">
        <f>IF(G497&lt;&gt;"",1+MAX($A$13:A496),"")</f>
        <v/>
      </c>
      <c r="D497" s="59"/>
      <c r="H497" s="82"/>
      <c r="I497" s="110"/>
      <c r="J497" s="80"/>
      <c r="K497" s="106"/>
      <c r="L497" s="106"/>
      <c r="M497" s="106"/>
      <c r="N497" s="106"/>
      <c r="O497" s="106"/>
      <c r="P497" s="46"/>
    </row>
    <row r="498" spans="1:16" ht="18.75" x14ac:dyDescent="0.25">
      <c r="A498" s="109" t="str">
        <f>IF(G498&lt;&gt;"",1+MAX($A$13:A497),"")</f>
        <v/>
      </c>
      <c r="D498" s="78" t="s">
        <v>44</v>
      </c>
      <c r="H498" s="82"/>
      <c r="I498" s="110"/>
      <c r="J498" s="80"/>
      <c r="K498" s="106"/>
      <c r="L498" s="106"/>
      <c r="M498" s="106"/>
      <c r="N498" s="106"/>
      <c r="O498" s="106"/>
      <c r="P498" s="46"/>
    </row>
    <row r="499" spans="1:16" x14ac:dyDescent="0.25">
      <c r="A499" s="109" t="str">
        <f>IF(G499&lt;&gt;"",1+MAX($A$13:A498),"")</f>
        <v/>
      </c>
      <c r="D499" s="59"/>
      <c r="H499" s="82"/>
      <c r="I499" s="110"/>
      <c r="J499" s="80"/>
      <c r="K499" s="106"/>
      <c r="L499" s="106"/>
      <c r="M499" s="106"/>
      <c r="N499" s="106"/>
      <c r="O499" s="106"/>
      <c r="P499" s="46"/>
    </row>
    <row r="500" spans="1:16" x14ac:dyDescent="0.25">
      <c r="A500" s="109" t="str">
        <f>IF(G500&lt;&gt;"",1+MAX($A$13:A499),"")</f>
        <v/>
      </c>
      <c r="D500" s="58" t="s">
        <v>62</v>
      </c>
      <c r="H500" s="82"/>
      <c r="I500" s="110"/>
      <c r="J500" s="80"/>
      <c r="K500" s="106"/>
      <c r="L500" s="106"/>
      <c r="M500" s="106"/>
      <c r="N500" s="106"/>
      <c r="O500" s="106"/>
      <c r="P500" s="46"/>
    </row>
    <row r="501" spans="1:16" ht="63" x14ac:dyDescent="0.25">
      <c r="A501" s="109">
        <f>IF(G501&lt;&gt;"",1+MAX($A$13:A500),"")</f>
        <v>316</v>
      </c>
      <c r="B501" s="178" t="s">
        <v>395</v>
      </c>
      <c r="C501" s="16" t="s">
        <v>50</v>
      </c>
      <c r="D501" s="113" t="s">
        <v>294</v>
      </c>
      <c r="E501" s="112">
        <v>10701.485710000001</v>
      </c>
      <c r="F501" s="39">
        <f>VLOOKUP(H501,'PROJECT SUMMARY'!$C$26:$D$32,2,0)</f>
        <v>0.05</v>
      </c>
      <c r="G501" s="31">
        <f>E501*(1+F501)</f>
        <v>11236.559995500002</v>
      </c>
      <c r="H501" s="82" t="s">
        <v>12</v>
      </c>
      <c r="I501" s="110">
        <v>0.02</v>
      </c>
      <c r="J501" s="80">
        <f>I501*G501</f>
        <v>224.73119991000004</v>
      </c>
      <c r="K501" s="106">
        <v>35</v>
      </c>
      <c r="L501" s="106">
        <f>K501*J501</f>
        <v>7865.5919968500011</v>
      </c>
      <c r="M501" s="106">
        <v>0.35</v>
      </c>
      <c r="N501" s="106">
        <f>M501*G501</f>
        <v>3932.7959984250001</v>
      </c>
      <c r="O501" s="106">
        <f>L501+N501</f>
        <v>11798.387995275001</v>
      </c>
      <c r="P501" s="46"/>
    </row>
    <row r="502" spans="1:16" ht="63" x14ac:dyDescent="0.25">
      <c r="A502" s="109">
        <f>IF(G502&lt;&gt;"",1+MAX($A$13:A501),"")</f>
        <v>317</v>
      </c>
      <c r="B502" s="178" t="s">
        <v>395</v>
      </c>
      <c r="C502" s="16" t="s">
        <v>50</v>
      </c>
      <c r="D502" s="113" t="s">
        <v>295</v>
      </c>
      <c r="E502" s="112">
        <v>1221.0947000000001</v>
      </c>
      <c r="F502" s="39">
        <f>VLOOKUP(H502,'PROJECT SUMMARY'!$C$26:$D$32,2,0)</f>
        <v>0.05</v>
      </c>
      <c r="G502" s="31">
        <f>E502*(1+F502)</f>
        <v>1282.1494350000003</v>
      </c>
      <c r="H502" s="82" t="s">
        <v>12</v>
      </c>
      <c r="I502" s="110">
        <v>0.02</v>
      </c>
      <c r="J502" s="80">
        <f>I502*G502</f>
        <v>25.642988700000007</v>
      </c>
      <c r="K502" s="106">
        <v>35</v>
      </c>
      <c r="L502" s="106">
        <f>K502*J502</f>
        <v>897.50460450000026</v>
      </c>
      <c r="M502" s="106">
        <v>0.35</v>
      </c>
      <c r="N502" s="106">
        <f>M502*G502</f>
        <v>448.75230225000007</v>
      </c>
      <c r="O502" s="106">
        <f>L502+N502</f>
        <v>1346.2569067500003</v>
      </c>
      <c r="P502" s="46"/>
    </row>
    <row r="503" spans="1:16" x14ac:dyDescent="0.25">
      <c r="A503" s="109" t="str">
        <f>IF(G503&lt;&gt;"",1+MAX($A$13:A502),"")</f>
        <v/>
      </c>
      <c r="D503" s="59"/>
      <c r="H503" s="82"/>
      <c r="I503" s="110"/>
      <c r="J503" s="80"/>
      <c r="K503" s="106"/>
      <c r="L503" s="106"/>
      <c r="M503" s="106"/>
      <c r="N503" s="106"/>
      <c r="O503" s="106"/>
      <c r="P503" s="46"/>
    </row>
    <row r="504" spans="1:16" x14ac:dyDescent="0.25">
      <c r="A504" s="109" t="str">
        <f>IF(G504&lt;&gt;"",1+MAX($A$13:A503),"")</f>
        <v/>
      </c>
      <c r="D504" s="58" t="s">
        <v>74</v>
      </c>
      <c r="H504" s="82"/>
      <c r="I504" s="110"/>
      <c r="J504" s="80"/>
      <c r="K504" s="106"/>
      <c r="L504" s="106"/>
      <c r="M504" s="106"/>
      <c r="N504" s="106"/>
      <c r="O504" s="106"/>
      <c r="P504" s="46"/>
    </row>
    <row r="505" spans="1:16" ht="63" x14ac:dyDescent="0.25">
      <c r="A505" s="109">
        <f>IF(G505&lt;&gt;"",1+MAX($A$13:A504),"")</f>
        <v>318</v>
      </c>
      <c r="B505" s="178" t="s">
        <v>395</v>
      </c>
      <c r="C505" s="16" t="s">
        <v>50</v>
      </c>
      <c r="D505" s="113" t="s">
        <v>296</v>
      </c>
      <c r="E505" s="112">
        <v>6015.33</v>
      </c>
      <c r="F505" s="39">
        <f>VLOOKUP(H505,'PROJECT SUMMARY'!$C$26:$D$32,2,0)</f>
        <v>0.05</v>
      </c>
      <c r="G505" s="31">
        <f>E505*(1+F505)</f>
        <v>6316.0965000000006</v>
      </c>
      <c r="H505" s="82" t="s">
        <v>12</v>
      </c>
      <c r="I505" s="110">
        <v>0.02</v>
      </c>
      <c r="J505" s="80">
        <f>I505*G505</f>
        <v>126.32193000000001</v>
      </c>
      <c r="K505" s="106">
        <v>35</v>
      </c>
      <c r="L505" s="106">
        <f>K505*J505</f>
        <v>4421.2675500000005</v>
      </c>
      <c r="M505" s="106">
        <v>0.35</v>
      </c>
      <c r="N505" s="106">
        <f>M505*G505</f>
        <v>2210.6337750000002</v>
      </c>
      <c r="O505" s="106">
        <f>L505+N505</f>
        <v>6631.9013250000007</v>
      </c>
      <c r="P505" s="46"/>
    </row>
    <row r="506" spans="1:16" x14ac:dyDescent="0.25">
      <c r="A506" s="109" t="str">
        <f>IF(G506&lt;&gt;"",1+MAX($A$13:A505),"")</f>
        <v/>
      </c>
      <c r="D506" s="113"/>
      <c r="H506" s="82"/>
      <c r="I506" s="110"/>
      <c r="J506" s="80"/>
      <c r="K506" s="106"/>
      <c r="L506" s="106"/>
      <c r="M506" s="106"/>
      <c r="N506" s="106"/>
      <c r="O506" s="106"/>
      <c r="P506" s="46"/>
    </row>
    <row r="507" spans="1:16" x14ac:dyDescent="0.25">
      <c r="A507" s="109" t="str">
        <f>IF(G507&lt;&gt;"",1+MAX($A$13:A506),"")</f>
        <v/>
      </c>
      <c r="D507" s="58" t="s">
        <v>75</v>
      </c>
      <c r="H507" s="82"/>
      <c r="I507" s="110"/>
      <c r="J507" s="80"/>
      <c r="K507" s="106"/>
      <c r="L507" s="106"/>
      <c r="M507" s="106"/>
      <c r="N507" s="106"/>
      <c r="O507" s="106"/>
      <c r="P507" s="46"/>
    </row>
    <row r="508" spans="1:16" s="177" customFormat="1" x14ac:dyDescent="0.25">
      <c r="A508" s="109">
        <f>IF(G508&lt;&gt;"",1+MAX($A$13:A507),"")</f>
        <v>319</v>
      </c>
      <c r="B508" s="178" t="s">
        <v>392</v>
      </c>
      <c r="C508" s="178" t="s">
        <v>50</v>
      </c>
      <c r="D508" s="113" t="s">
        <v>297</v>
      </c>
      <c r="E508" s="112">
        <v>8</v>
      </c>
      <c r="F508" s="107">
        <f>VLOOKUP(H508,'PROJECT SUMMARY'!$C$26:$D$32,2,0)</f>
        <v>0</v>
      </c>
      <c r="G508" s="112">
        <f t="shared" ref="G508" si="461">E508*(1+F508)</f>
        <v>8</v>
      </c>
      <c r="H508" s="178" t="s">
        <v>10</v>
      </c>
      <c r="I508" s="110">
        <v>1</v>
      </c>
      <c r="J508" s="111">
        <f t="shared" ref="J508" si="462">I508*G508</f>
        <v>8</v>
      </c>
      <c r="K508" s="106">
        <v>35</v>
      </c>
      <c r="L508" s="106">
        <f t="shared" ref="L508" si="463">K508*J508</f>
        <v>280</v>
      </c>
      <c r="M508" s="106">
        <v>20</v>
      </c>
      <c r="N508" s="106">
        <f t="shared" ref="N508" si="464">M508*G508</f>
        <v>160</v>
      </c>
      <c r="O508" s="106">
        <f t="shared" ref="O508" si="465">L508+N508</f>
        <v>440</v>
      </c>
      <c r="P508" s="108"/>
    </row>
    <row r="509" spans="1:16" s="177" customFormat="1" x14ac:dyDescent="0.25">
      <c r="A509" s="109">
        <f>IF(G509&lt;&gt;"",1+MAX($A$13:A508),"")</f>
        <v>320</v>
      </c>
      <c r="B509" s="178" t="s">
        <v>392</v>
      </c>
      <c r="C509" s="178" t="s">
        <v>50</v>
      </c>
      <c r="D509" s="113" t="s">
        <v>298</v>
      </c>
      <c r="E509" s="112">
        <v>5</v>
      </c>
      <c r="F509" s="107">
        <f>VLOOKUP(H509,'PROJECT SUMMARY'!$C$26:$D$32,2,0)</f>
        <v>0</v>
      </c>
      <c r="G509" s="112">
        <f>E509*(1+F509)</f>
        <v>5</v>
      </c>
      <c r="H509" s="178" t="s">
        <v>10</v>
      </c>
      <c r="I509" s="110">
        <v>1.0544</v>
      </c>
      <c r="J509" s="111">
        <f>I509*G509</f>
        <v>5.2720000000000002</v>
      </c>
      <c r="K509" s="106">
        <v>35</v>
      </c>
      <c r="L509" s="106">
        <f>K509*J509</f>
        <v>184.52</v>
      </c>
      <c r="M509" s="106">
        <v>21.088000000000001</v>
      </c>
      <c r="N509" s="106">
        <f>M509*G509</f>
        <v>105.44</v>
      </c>
      <c r="O509" s="106">
        <f>L509+N509</f>
        <v>289.96000000000004</v>
      </c>
      <c r="P509" s="108"/>
    </row>
    <row r="510" spans="1:16" s="177" customFormat="1" x14ac:dyDescent="0.25">
      <c r="A510" s="109">
        <f>IF(G510&lt;&gt;"",1+MAX($A$13:A509),"")</f>
        <v>321</v>
      </c>
      <c r="B510" s="178" t="s">
        <v>392</v>
      </c>
      <c r="C510" s="178" t="s">
        <v>50</v>
      </c>
      <c r="D510" s="113" t="s">
        <v>299</v>
      </c>
      <c r="E510" s="112">
        <v>14</v>
      </c>
      <c r="F510" s="107">
        <f>VLOOKUP(H510,'PROJECT SUMMARY'!$C$26:$D$32,2,0)</f>
        <v>0</v>
      </c>
      <c r="G510" s="112">
        <f t="shared" ref="G510:G513" si="466">E510*(1+F510)</f>
        <v>14</v>
      </c>
      <c r="H510" s="178" t="s">
        <v>10</v>
      </c>
      <c r="I510" s="110">
        <v>1.1600000000000001</v>
      </c>
      <c r="J510" s="111">
        <f t="shared" ref="J510:J513" si="467">I510*G510</f>
        <v>16.240000000000002</v>
      </c>
      <c r="K510" s="106">
        <v>35</v>
      </c>
      <c r="L510" s="106">
        <f t="shared" ref="L510:L513" si="468">K510*J510</f>
        <v>568.40000000000009</v>
      </c>
      <c r="M510" s="106">
        <v>23.200000000000003</v>
      </c>
      <c r="N510" s="106">
        <f t="shared" ref="N510:N513" si="469">M510*G510</f>
        <v>324.80000000000007</v>
      </c>
      <c r="O510" s="106">
        <f t="shared" ref="O510:O513" si="470">L510+N510</f>
        <v>893.20000000000016</v>
      </c>
      <c r="P510" s="108"/>
    </row>
    <row r="511" spans="1:16" s="177" customFormat="1" x14ac:dyDescent="0.25">
      <c r="A511" s="109">
        <f>IF(G511&lt;&gt;"",1+MAX($A$13:A510),"")</f>
        <v>322</v>
      </c>
      <c r="B511" s="178" t="s">
        <v>392</v>
      </c>
      <c r="C511" s="178" t="s">
        <v>50</v>
      </c>
      <c r="D511" s="113" t="s">
        <v>300</v>
      </c>
      <c r="E511" s="112">
        <v>1</v>
      </c>
      <c r="F511" s="107">
        <f>VLOOKUP(H511,'PROJECT SUMMARY'!$C$26:$D$32,2,0)</f>
        <v>0</v>
      </c>
      <c r="G511" s="112">
        <f t="shared" si="466"/>
        <v>1</v>
      </c>
      <c r="H511" s="178" t="s">
        <v>10</v>
      </c>
      <c r="I511" s="110">
        <v>1.4800000000000002</v>
      </c>
      <c r="J511" s="111">
        <f t="shared" si="467"/>
        <v>1.4800000000000002</v>
      </c>
      <c r="K511" s="106">
        <v>35</v>
      </c>
      <c r="L511" s="106">
        <f t="shared" si="468"/>
        <v>51.800000000000004</v>
      </c>
      <c r="M511" s="106">
        <v>29.6</v>
      </c>
      <c r="N511" s="106">
        <f t="shared" si="469"/>
        <v>29.6</v>
      </c>
      <c r="O511" s="106">
        <f t="shared" si="470"/>
        <v>81.400000000000006</v>
      </c>
      <c r="P511" s="108"/>
    </row>
    <row r="512" spans="1:16" s="177" customFormat="1" x14ac:dyDescent="0.25">
      <c r="A512" s="109">
        <f>IF(G512&lt;&gt;"",1+MAX($A$13:A511),"")</f>
        <v>323</v>
      </c>
      <c r="B512" s="178" t="s">
        <v>392</v>
      </c>
      <c r="C512" s="178" t="s">
        <v>50</v>
      </c>
      <c r="D512" s="113" t="s">
        <v>301</v>
      </c>
      <c r="E512" s="112">
        <v>1</v>
      </c>
      <c r="F512" s="107">
        <f>VLOOKUP(H512,'PROJECT SUMMARY'!$C$26:$D$32,2,0)</f>
        <v>0</v>
      </c>
      <c r="G512" s="112">
        <f t="shared" si="466"/>
        <v>1</v>
      </c>
      <c r="H512" s="178" t="s">
        <v>10</v>
      </c>
      <c r="I512" s="110">
        <v>1.8</v>
      </c>
      <c r="J512" s="111">
        <f t="shared" si="467"/>
        <v>1.8</v>
      </c>
      <c r="K512" s="106">
        <v>35</v>
      </c>
      <c r="L512" s="106">
        <f t="shared" si="468"/>
        <v>63</v>
      </c>
      <c r="M512" s="106">
        <v>36</v>
      </c>
      <c r="N512" s="106">
        <f t="shared" si="469"/>
        <v>36</v>
      </c>
      <c r="O512" s="106">
        <f t="shared" si="470"/>
        <v>99</v>
      </c>
      <c r="P512" s="108"/>
    </row>
    <row r="513" spans="1:16" s="177" customFormat="1" x14ac:dyDescent="0.25">
      <c r="A513" s="109">
        <f>IF(G513&lt;&gt;"",1+MAX($A$13:A512),"")</f>
        <v>324</v>
      </c>
      <c r="B513" s="178" t="s">
        <v>392</v>
      </c>
      <c r="C513" s="178" t="s">
        <v>50</v>
      </c>
      <c r="D513" s="113" t="s">
        <v>302</v>
      </c>
      <c r="E513" s="112">
        <v>1</v>
      </c>
      <c r="F513" s="107">
        <f>VLOOKUP(H513,'PROJECT SUMMARY'!$C$26:$D$32,2,0)</f>
        <v>0</v>
      </c>
      <c r="G513" s="112">
        <f t="shared" si="466"/>
        <v>1</v>
      </c>
      <c r="H513" s="178" t="s">
        <v>10</v>
      </c>
      <c r="I513" s="110">
        <v>2.1200000000000006</v>
      </c>
      <c r="J513" s="111">
        <f t="shared" si="467"/>
        <v>2.1200000000000006</v>
      </c>
      <c r="K513" s="106">
        <v>35</v>
      </c>
      <c r="L513" s="106">
        <f t="shared" si="468"/>
        <v>74.200000000000017</v>
      </c>
      <c r="M513" s="106">
        <v>42.400000000000006</v>
      </c>
      <c r="N513" s="106">
        <f t="shared" si="469"/>
        <v>42.400000000000006</v>
      </c>
      <c r="O513" s="106">
        <f t="shared" si="470"/>
        <v>116.60000000000002</v>
      </c>
      <c r="P513" s="108"/>
    </row>
    <row r="514" spans="1:16" s="177" customFormat="1" x14ac:dyDescent="0.25">
      <c r="A514" s="109">
        <f>IF(G514&lt;&gt;"",1+MAX($A$13:A513),"")</f>
        <v>325</v>
      </c>
      <c r="B514" s="178" t="s">
        <v>392</v>
      </c>
      <c r="C514" s="178" t="s">
        <v>50</v>
      </c>
      <c r="D514" s="113" t="s">
        <v>303</v>
      </c>
      <c r="E514" s="112">
        <v>1</v>
      </c>
      <c r="F514" s="107">
        <f>VLOOKUP(H514,'PROJECT SUMMARY'!$C$26:$D$32,2,0)</f>
        <v>0</v>
      </c>
      <c r="G514" s="112">
        <f>E514*(1+F514)</f>
        <v>1</v>
      </c>
      <c r="H514" s="178" t="s">
        <v>10</v>
      </c>
      <c r="I514" s="110">
        <v>3.65</v>
      </c>
      <c r="J514" s="111">
        <f>I514*G514</f>
        <v>3.65</v>
      </c>
      <c r="K514" s="106">
        <v>35</v>
      </c>
      <c r="L514" s="106">
        <f>K514*J514</f>
        <v>127.75</v>
      </c>
      <c r="M514" s="106">
        <v>106.4</v>
      </c>
      <c r="N514" s="106">
        <f>M514*G514</f>
        <v>106.4</v>
      </c>
      <c r="O514" s="106">
        <f>L514+N514</f>
        <v>234.15</v>
      </c>
      <c r="P514" s="108"/>
    </row>
    <row r="515" spans="1:16" s="130" customFormat="1" x14ac:dyDescent="0.25">
      <c r="A515" s="109" t="str">
        <f>IF(G515&lt;&gt;"",1+MAX($A$13:A514),"")</f>
        <v/>
      </c>
      <c r="B515" s="131"/>
      <c r="C515" s="131"/>
      <c r="D515" s="113"/>
      <c r="E515" s="112"/>
      <c r="F515" s="107"/>
      <c r="G515" s="112"/>
      <c r="H515" s="131"/>
      <c r="I515" s="110"/>
      <c r="J515" s="80"/>
      <c r="K515" s="106"/>
      <c r="L515" s="106"/>
      <c r="M515" s="106"/>
      <c r="N515" s="106"/>
      <c r="O515" s="106"/>
      <c r="P515" s="108"/>
    </row>
    <row r="516" spans="1:16" s="130" customFormat="1" x14ac:dyDescent="0.25">
      <c r="A516" s="109" t="str">
        <f>IF(G516&lt;&gt;"",1+MAX($A$13:A515),"")</f>
        <v/>
      </c>
      <c r="B516" s="131"/>
      <c r="C516" s="131"/>
      <c r="D516" s="58" t="s">
        <v>87</v>
      </c>
      <c r="E516" s="112"/>
      <c r="F516" s="107"/>
      <c r="G516" s="112"/>
      <c r="H516" s="131"/>
      <c r="I516" s="110"/>
      <c r="J516" s="80"/>
      <c r="K516" s="106"/>
      <c r="L516" s="106"/>
      <c r="M516" s="106"/>
      <c r="N516" s="106"/>
      <c r="O516" s="106"/>
      <c r="P516" s="108"/>
    </row>
    <row r="517" spans="1:16" s="130" customFormat="1" x14ac:dyDescent="0.25">
      <c r="A517" s="109">
        <f>IF(G517&lt;&gt;"",1+MAX($A$13:A516),"")</f>
        <v>326</v>
      </c>
      <c r="B517" s="178" t="s">
        <v>392</v>
      </c>
      <c r="C517" s="131" t="s">
        <v>50</v>
      </c>
      <c r="D517" s="113" t="s">
        <v>333</v>
      </c>
      <c r="E517" s="112">
        <v>1463.42</v>
      </c>
      <c r="F517" s="107">
        <f>VLOOKUP(H517,'PROJECT SUMMARY'!$C$26:$D$32,2,0)</f>
        <v>0.05</v>
      </c>
      <c r="G517" s="112">
        <f>E517*(1+F517)</f>
        <v>1536.5910000000001</v>
      </c>
      <c r="H517" s="131" t="s">
        <v>11</v>
      </c>
      <c r="I517" s="110">
        <v>2.1999999999999999E-2</v>
      </c>
      <c r="J517" s="80">
        <f t="shared" ref="J517" si="471">I517*G517</f>
        <v>33.805002000000002</v>
      </c>
      <c r="K517" s="106">
        <v>35</v>
      </c>
      <c r="L517" s="106">
        <f t="shared" ref="L517" si="472">K517*J517</f>
        <v>1183.17507</v>
      </c>
      <c r="M517" s="106">
        <v>0.8</v>
      </c>
      <c r="N517" s="106">
        <f>M517*G517</f>
        <v>1229.2728000000002</v>
      </c>
      <c r="O517" s="106">
        <f>L517+N517</f>
        <v>2412.44787</v>
      </c>
      <c r="P517" s="108"/>
    </row>
    <row r="518" spans="1:16" x14ac:dyDescent="0.25">
      <c r="A518" s="109" t="str">
        <f>IF(G518&lt;&gt;"",1+MAX($A$13:A517),"")</f>
        <v/>
      </c>
      <c r="D518" s="59"/>
      <c r="H518" s="82"/>
      <c r="I518" s="110"/>
      <c r="J518" s="80"/>
      <c r="K518" s="106"/>
      <c r="L518" s="106"/>
      <c r="M518" s="106"/>
      <c r="N518" s="106"/>
      <c r="O518" s="106"/>
      <c r="P518" s="46"/>
    </row>
    <row r="519" spans="1:16" x14ac:dyDescent="0.25">
      <c r="A519" s="109" t="str">
        <f>IF(G519&lt;&gt;"",1+MAX($A$13:A518),"")</f>
        <v/>
      </c>
      <c r="D519" s="58" t="s">
        <v>184</v>
      </c>
      <c r="H519" s="82"/>
      <c r="I519" s="110"/>
      <c r="J519" s="80"/>
      <c r="K519" s="106"/>
      <c r="L519" s="106"/>
      <c r="M519" s="106"/>
      <c r="N519" s="106"/>
      <c r="O519" s="106"/>
      <c r="P519" s="46"/>
    </row>
    <row r="520" spans="1:16" x14ac:dyDescent="0.25">
      <c r="A520" s="109">
        <f>IF(G520&lt;&gt;"",1+MAX($A$13:A519),"")</f>
        <v>327</v>
      </c>
      <c r="B520" s="82" t="s">
        <v>397</v>
      </c>
      <c r="C520" s="16" t="s">
        <v>50</v>
      </c>
      <c r="D520" s="113" t="s">
        <v>304</v>
      </c>
      <c r="E520" s="112">
        <v>1035.96</v>
      </c>
      <c r="F520" s="39">
        <f>VLOOKUP(H520,'PROJECT SUMMARY'!$C$26:$D$32,2,0)</f>
        <v>0.05</v>
      </c>
      <c r="G520" s="31">
        <f>E520*(1+F520)</f>
        <v>1087.758</v>
      </c>
      <c r="H520" s="82" t="s">
        <v>12</v>
      </c>
      <c r="I520" s="110">
        <v>3.2000000000000001E-2</v>
      </c>
      <c r="J520" s="80">
        <f>I520*G520</f>
        <v>34.808256</v>
      </c>
      <c r="K520" s="106">
        <v>35</v>
      </c>
      <c r="L520" s="106">
        <f>K520*J520</f>
        <v>1218.2889600000001</v>
      </c>
      <c r="M520" s="106">
        <v>0.6</v>
      </c>
      <c r="N520" s="106">
        <f>M520*G520</f>
        <v>652.65480000000002</v>
      </c>
      <c r="O520" s="106">
        <f>L520+N520</f>
        <v>1870.9437600000001</v>
      </c>
      <c r="P520" s="46"/>
    </row>
    <row r="521" spans="1:16" s="177" customFormat="1" x14ac:dyDescent="0.25">
      <c r="A521" s="109" t="str">
        <f>IF(G521&lt;&gt;"",1+MAX($A$13:A520),"")</f>
        <v/>
      </c>
      <c r="B521" s="178"/>
      <c r="C521" s="178"/>
      <c r="D521" s="113"/>
      <c r="E521" s="112"/>
      <c r="F521" s="107"/>
      <c r="G521" s="112"/>
      <c r="H521" s="178"/>
      <c r="I521" s="110"/>
      <c r="J521" s="80"/>
      <c r="K521" s="106"/>
      <c r="L521" s="106"/>
      <c r="M521" s="106"/>
      <c r="N521" s="106"/>
      <c r="O521" s="106"/>
      <c r="P521" s="108"/>
    </row>
    <row r="522" spans="1:16" s="177" customFormat="1" x14ac:dyDescent="0.25">
      <c r="A522" s="109">
        <f>IF(G522&lt;&gt;"",1+MAX($A$13:A521),"")</f>
        <v>328</v>
      </c>
      <c r="B522" s="178" t="s">
        <v>397</v>
      </c>
      <c r="C522" s="178" t="s">
        <v>50</v>
      </c>
      <c r="D522" s="113" t="s">
        <v>305</v>
      </c>
      <c r="E522" s="112">
        <v>50</v>
      </c>
      <c r="F522" s="107">
        <f>VLOOKUP(H522,'PROJECT SUMMARY'!$C$26:$D$32,2,0)</f>
        <v>0.05</v>
      </c>
      <c r="G522" s="112">
        <f t="shared" ref="G522:G524" si="473">E522*(1+F522)</f>
        <v>52.5</v>
      </c>
      <c r="H522" s="178" t="s">
        <v>11</v>
      </c>
      <c r="I522" s="110">
        <v>2.5000000000000001E-2</v>
      </c>
      <c r="J522" s="80">
        <f t="shared" ref="J522:J524" si="474">I522*G522</f>
        <v>1.3125</v>
      </c>
      <c r="K522" s="106">
        <v>35</v>
      </c>
      <c r="L522" s="106">
        <f t="shared" ref="L522:L524" si="475">K522*J522</f>
        <v>45.9375</v>
      </c>
      <c r="M522" s="106">
        <v>1.1000000000000001</v>
      </c>
      <c r="N522" s="106">
        <f t="shared" ref="N522:N524" si="476">M522*G522</f>
        <v>57.750000000000007</v>
      </c>
      <c r="O522" s="106">
        <f t="shared" ref="O522:O524" si="477">L522+N522</f>
        <v>103.6875</v>
      </c>
      <c r="P522" s="108"/>
    </row>
    <row r="523" spans="1:16" s="177" customFormat="1" x14ac:dyDescent="0.25">
      <c r="A523" s="109">
        <f>IF(G523&lt;&gt;"",1+MAX($A$13:A522),"")</f>
        <v>329</v>
      </c>
      <c r="B523" s="178" t="s">
        <v>397</v>
      </c>
      <c r="C523" s="178" t="s">
        <v>50</v>
      </c>
      <c r="D523" s="113" t="s">
        <v>306</v>
      </c>
      <c r="E523" s="112">
        <v>206.66</v>
      </c>
      <c r="F523" s="107">
        <f>VLOOKUP(H523,'PROJECT SUMMARY'!$C$26:$D$32,2,0)</f>
        <v>0.05</v>
      </c>
      <c r="G523" s="112">
        <f t="shared" si="473"/>
        <v>216.99299999999999</v>
      </c>
      <c r="H523" s="178" t="s">
        <v>11</v>
      </c>
      <c r="I523" s="110">
        <v>2.5000000000000001E-2</v>
      </c>
      <c r="J523" s="80">
        <f t="shared" si="474"/>
        <v>5.4248250000000002</v>
      </c>
      <c r="K523" s="106">
        <v>35</v>
      </c>
      <c r="L523" s="106">
        <f t="shared" si="475"/>
        <v>189.868875</v>
      </c>
      <c r="M523" s="106">
        <v>1.1000000000000001</v>
      </c>
      <c r="N523" s="106">
        <f t="shared" si="476"/>
        <v>238.69230000000002</v>
      </c>
      <c r="O523" s="106">
        <f t="shared" si="477"/>
        <v>428.56117500000005</v>
      </c>
      <c r="P523" s="108"/>
    </row>
    <row r="524" spans="1:16" s="177" customFormat="1" x14ac:dyDescent="0.25">
      <c r="A524" s="109">
        <f>IF(G524&lt;&gt;"",1+MAX($A$13:A523),"")</f>
        <v>330</v>
      </c>
      <c r="B524" s="178" t="s">
        <v>397</v>
      </c>
      <c r="C524" s="178" t="s">
        <v>50</v>
      </c>
      <c r="D524" s="113" t="s">
        <v>307</v>
      </c>
      <c r="E524" s="112">
        <v>196.31</v>
      </c>
      <c r="F524" s="107">
        <f>VLOOKUP(H524,'PROJECT SUMMARY'!$C$26:$D$32,2,0)</f>
        <v>0.05</v>
      </c>
      <c r="G524" s="112">
        <f t="shared" si="473"/>
        <v>206.12550000000002</v>
      </c>
      <c r="H524" s="178" t="s">
        <v>11</v>
      </c>
      <c r="I524" s="110">
        <v>2.5000000000000001E-2</v>
      </c>
      <c r="J524" s="80">
        <f t="shared" si="474"/>
        <v>5.1531375000000006</v>
      </c>
      <c r="K524" s="106">
        <v>35</v>
      </c>
      <c r="L524" s="106">
        <f t="shared" si="475"/>
        <v>180.35981250000003</v>
      </c>
      <c r="M524" s="106">
        <v>1.1000000000000001</v>
      </c>
      <c r="N524" s="106">
        <f t="shared" si="476"/>
        <v>226.73805000000004</v>
      </c>
      <c r="O524" s="106">
        <f t="shared" si="477"/>
        <v>407.09786250000008</v>
      </c>
      <c r="P524" s="108"/>
    </row>
    <row r="525" spans="1:16" ht="16.5" thickBot="1" x14ac:dyDescent="0.3">
      <c r="A525" s="109" t="str">
        <f>IF(G525&lt;&gt;"",1+MAX($A$13:A524),"")</f>
        <v/>
      </c>
      <c r="H525" s="82"/>
      <c r="P525" s="46"/>
    </row>
    <row r="526" spans="1:16" s="81" customFormat="1" ht="16.5" thickBot="1" x14ac:dyDescent="0.3">
      <c r="A526" s="89" t="str">
        <f>IF(G526&lt;&gt;"",1+MAX($A$13:A525),"")</f>
        <v/>
      </c>
      <c r="B526" s="85"/>
      <c r="C526" s="85" t="s">
        <v>59</v>
      </c>
      <c r="D526" s="83" t="s">
        <v>61</v>
      </c>
      <c r="E526" s="87"/>
      <c r="F526" s="88"/>
      <c r="G526" s="87"/>
      <c r="H526" s="87"/>
      <c r="I526" s="83"/>
      <c r="J526" s="83"/>
      <c r="K526" s="84"/>
      <c r="L526" s="84"/>
      <c r="M526" s="84"/>
      <c r="N526" s="84"/>
      <c r="O526" s="86"/>
      <c r="P526" s="90">
        <f>SUM(O527:O542)</f>
        <v>13669.882441058657</v>
      </c>
    </row>
    <row r="527" spans="1:16" x14ac:dyDescent="0.25">
      <c r="A527" s="109" t="str">
        <f>IF(G527&lt;&gt;"",1+MAX($A$13:A526),"")</f>
        <v/>
      </c>
      <c r="H527" s="82"/>
      <c r="P527" s="46"/>
    </row>
    <row r="528" spans="1:16" x14ac:dyDescent="0.25">
      <c r="A528" s="109" t="str">
        <f>IF(G528&lt;&gt;"",1+MAX($A$13:A527),"")</f>
        <v/>
      </c>
      <c r="D528" s="58" t="s">
        <v>78</v>
      </c>
      <c r="H528" s="82"/>
      <c r="P528" s="46"/>
    </row>
    <row r="529" spans="1:16" x14ac:dyDescent="0.25">
      <c r="A529" s="109">
        <f>IF(G529&lt;&gt;"",1+MAX($A$13:A528),"")</f>
        <v>331</v>
      </c>
      <c r="B529" s="178" t="s">
        <v>396</v>
      </c>
      <c r="C529" s="16" t="s">
        <v>59</v>
      </c>
      <c r="D529" s="113" t="s">
        <v>158</v>
      </c>
      <c r="E529" s="112">
        <v>1</v>
      </c>
      <c r="F529" s="39">
        <f>VLOOKUP(H529,'PROJECT SUMMARY'!$C$26:$D$32,2,0)</f>
        <v>0</v>
      </c>
      <c r="G529" s="31">
        <f>E529*(1+F529)</f>
        <v>1</v>
      </c>
      <c r="H529" s="82" t="s">
        <v>10</v>
      </c>
      <c r="I529" s="110">
        <v>2.1280000000000001</v>
      </c>
      <c r="J529" s="80">
        <f>I529*G529</f>
        <v>2.1280000000000001</v>
      </c>
      <c r="K529" s="106">
        <v>55</v>
      </c>
      <c r="L529" s="106">
        <f>K529*J529</f>
        <v>117.04</v>
      </c>
      <c r="M529" s="106">
        <v>221.33333333333334</v>
      </c>
      <c r="N529" s="106">
        <f>M529*G529</f>
        <v>221.33333333333334</v>
      </c>
      <c r="O529" s="106">
        <f>L529+N529</f>
        <v>338.37333333333333</v>
      </c>
      <c r="P529" s="46"/>
    </row>
    <row r="530" spans="1:16" s="81" customFormat="1" x14ac:dyDescent="0.25">
      <c r="A530" s="109">
        <f>IF(G530&lt;&gt;"",1+MAX($A$13:A529),"")</f>
        <v>332</v>
      </c>
      <c r="B530" s="178" t="s">
        <v>396</v>
      </c>
      <c r="C530" s="82" t="s">
        <v>59</v>
      </c>
      <c r="D530" s="113" t="s">
        <v>159</v>
      </c>
      <c r="E530" s="112">
        <v>1</v>
      </c>
      <c r="F530" s="39">
        <f>VLOOKUP(H530,'PROJECT SUMMARY'!$C$26:$D$32,2,0)</f>
        <v>0</v>
      </c>
      <c r="G530" s="31">
        <f t="shared" ref="G530:G542" si="478">E530*(1+F530)</f>
        <v>1</v>
      </c>
      <c r="H530" s="82" t="s">
        <v>10</v>
      </c>
      <c r="I530" s="110">
        <v>7.4480000000000004</v>
      </c>
      <c r="J530" s="80">
        <f t="shared" ref="J530:J542" si="479">I530*G530</f>
        <v>7.4480000000000004</v>
      </c>
      <c r="K530" s="106">
        <v>55</v>
      </c>
      <c r="L530" s="106">
        <f t="shared" ref="L530:L542" si="480">K530*J530</f>
        <v>409.64000000000004</v>
      </c>
      <c r="M530" s="106">
        <v>774.66666666666663</v>
      </c>
      <c r="N530" s="106">
        <f t="shared" ref="N530:N542" si="481">M530*G530</f>
        <v>774.66666666666663</v>
      </c>
      <c r="O530" s="106">
        <f t="shared" ref="O530:O542" si="482">L530+N530</f>
        <v>1184.3066666666666</v>
      </c>
      <c r="P530" s="46"/>
    </row>
    <row r="531" spans="1:16" s="81" customFormat="1" x14ac:dyDescent="0.25">
      <c r="A531" s="109">
        <f>IF(G531&lt;&gt;"",1+MAX($A$13:A530),"")</f>
        <v>333</v>
      </c>
      <c r="B531" s="178" t="s">
        <v>396</v>
      </c>
      <c r="C531" s="82" t="s">
        <v>59</v>
      </c>
      <c r="D531" s="113" t="s">
        <v>160</v>
      </c>
      <c r="E531" s="112">
        <v>1</v>
      </c>
      <c r="F531" s="39">
        <f>VLOOKUP(H531,'PROJECT SUMMARY'!$C$26:$D$32,2,0)</f>
        <v>0</v>
      </c>
      <c r="G531" s="31">
        <f t="shared" si="478"/>
        <v>1</v>
      </c>
      <c r="H531" s="82" t="s">
        <v>10</v>
      </c>
      <c r="I531" s="110">
        <v>2.66</v>
      </c>
      <c r="J531" s="80">
        <f t="shared" si="479"/>
        <v>2.66</v>
      </c>
      <c r="K531" s="106">
        <v>55</v>
      </c>
      <c r="L531" s="106">
        <f t="shared" si="480"/>
        <v>146.30000000000001</v>
      </c>
      <c r="M531" s="106">
        <v>276.66666666666669</v>
      </c>
      <c r="N531" s="106">
        <f t="shared" si="481"/>
        <v>276.66666666666669</v>
      </c>
      <c r="O531" s="106">
        <f t="shared" si="482"/>
        <v>422.9666666666667</v>
      </c>
      <c r="P531" s="46"/>
    </row>
    <row r="532" spans="1:16" s="81" customFormat="1" x14ac:dyDescent="0.25">
      <c r="A532" s="109">
        <f>IF(G532&lt;&gt;"",1+MAX($A$13:A531),"")</f>
        <v>334</v>
      </c>
      <c r="B532" s="178" t="s">
        <v>396</v>
      </c>
      <c r="C532" s="82" t="s">
        <v>59</v>
      </c>
      <c r="D532" s="113" t="s">
        <v>161</v>
      </c>
      <c r="E532" s="112">
        <v>2</v>
      </c>
      <c r="F532" s="39">
        <f>VLOOKUP(H532,'PROJECT SUMMARY'!$C$26:$D$32,2,0)</f>
        <v>0</v>
      </c>
      <c r="G532" s="31">
        <f t="shared" si="478"/>
        <v>2</v>
      </c>
      <c r="H532" s="82" t="s">
        <v>10</v>
      </c>
      <c r="I532" s="110">
        <v>3.1920000000000002</v>
      </c>
      <c r="J532" s="80">
        <f t="shared" si="479"/>
        <v>6.3840000000000003</v>
      </c>
      <c r="K532" s="106">
        <v>55</v>
      </c>
      <c r="L532" s="106">
        <f t="shared" si="480"/>
        <v>351.12</v>
      </c>
      <c r="M532" s="106">
        <v>332</v>
      </c>
      <c r="N532" s="106">
        <f t="shared" si="481"/>
        <v>664</v>
      </c>
      <c r="O532" s="106">
        <f t="shared" si="482"/>
        <v>1015.12</v>
      </c>
      <c r="P532" s="46"/>
    </row>
    <row r="533" spans="1:16" s="81" customFormat="1" x14ac:dyDescent="0.25">
      <c r="A533" s="109">
        <f>IF(G533&lt;&gt;"",1+MAX($A$13:A532),"")</f>
        <v>335</v>
      </c>
      <c r="B533" s="178" t="s">
        <v>396</v>
      </c>
      <c r="C533" s="82" t="s">
        <v>59</v>
      </c>
      <c r="D533" s="113" t="s">
        <v>162</v>
      </c>
      <c r="E533" s="112">
        <v>1</v>
      </c>
      <c r="F533" s="39">
        <f>VLOOKUP(H533,'PROJECT SUMMARY'!$C$26:$D$32,2,0)</f>
        <v>0</v>
      </c>
      <c r="G533" s="31">
        <f t="shared" si="478"/>
        <v>1</v>
      </c>
      <c r="H533" s="82" t="s">
        <v>10</v>
      </c>
      <c r="I533" s="110">
        <v>4.0751200000000001</v>
      </c>
      <c r="J533" s="80">
        <f t="shared" si="479"/>
        <v>4.0751200000000001</v>
      </c>
      <c r="K533" s="106">
        <v>55</v>
      </c>
      <c r="L533" s="106">
        <f t="shared" si="480"/>
        <v>224.13159999999999</v>
      </c>
      <c r="M533" s="106">
        <v>423.8533333333333</v>
      </c>
      <c r="N533" s="106">
        <f t="shared" si="481"/>
        <v>423.8533333333333</v>
      </c>
      <c r="O533" s="106">
        <f t="shared" si="482"/>
        <v>647.98493333333329</v>
      </c>
      <c r="P533" s="46"/>
    </row>
    <row r="534" spans="1:16" s="81" customFormat="1" x14ac:dyDescent="0.25">
      <c r="A534" s="109">
        <f>IF(G534&lt;&gt;"",1+MAX($A$13:A533),"")</f>
        <v>336</v>
      </c>
      <c r="B534" s="178" t="s">
        <v>396</v>
      </c>
      <c r="C534" s="82" t="s">
        <v>59</v>
      </c>
      <c r="D534" s="113" t="s">
        <v>163</v>
      </c>
      <c r="E534" s="112">
        <v>1</v>
      </c>
      <c r="F534" s="39">
        <f>VLOOKUP(H534,'PROJECT SUMMARY'!$C$26:$D$32,2,0)</f>
        <v>0</v>
      </c>
      <c r="G534" s="31">
        <f t="shared" si="478"/>
        <v>1</v>
      </c>
      <c r="H534" s="82" t="s">
        <v>10</v>
      </c>
      <c r="I534" s="110">
        <v>2.4791200000000004</v>
      </c>
      <c r="J534" s="80">
        <f t="shared" si="479"/>
        <v>2.4791200000000004</v>
      </c>
      <c r="K534" s="106">
        <v>55</v>
      </c>
      <c r="L534" s="106">
        <f t="shared" si="480"/>
        <v>136.35160000000002</v>
      </c>
      <c r="M534" s="106">
        <v>257.85333333333335</v>
      </c>
      <c r="N534" s="106">
        <f t="shared" si="481"/>
        <v>257.85333333333335</v>
      </c>
      <c r="O534" s="106">
        <f t="shared" si="482"/>
        <v>394.20493333333337</v>
      </c>
      <c r="P534" s="46"/>
    </row>
    <row r="535" spans="1:16" s="81" customFormat="1" x14ac:dyDescent="0.25">
      <c r="A535" s="109">
        <f>IF(G535&lt;&gt;"",1+MAX($A$13:A534),"")</f>
        <v>337</v>
      </c>
      <c r="B535" s="178" t="s">
        <v>396</v>
      </c>
      <c r="C535" s="82" t="s">
        <v>59</v>
      </c>
      <c r="D535" s="113" t="s">
        <v>325</v>
      </c>
      <c r="E535" s="112">
        <v>8</v>
      </c>
      <c r="F535" s="39">
        <f>VLOOKUP(H535,'PROJECT SUMMARY'!$C$26:$D$32,2,0)</f>
        <v>0</v>
      </c>
      <c r="G535" s="31">
        <f t="shared" si="478"/>
        <v>8</v>
      </c>
      <c r="H535" s="82" t="s">
        <v>10</v>
      </c>
      <c r="I535" s="110">
        <v>0.95</v>
      </c>
      <c r="J535" s="80">
        <f t="shared" si="479"/>
        <v>7.6</v>
      </c>
      <c r="K535" s="106">
        <v>55</v>
      </c>
      <c r="L535" s="106">
        <f t="shared" si="480"/>
        <v>418</v>
      </c>
      <c r="M535" s="106">
        <v>85.5</v>
      </c>
      <c r="N535" s="106">
        <f t="shared" si="481"/>
        <v>684</v>
      </c>
      <c r="O535" s="106">
        <f t="shared" si="482"/>
        <v>1102</v>
      </c>
      <c r="P535" s="46"/>
    </row>
    <row r="536" spans="1:16" s="124" customFormat="1" x14ac:dyDescent="0.25">
      <c r="A536" s="109">
        <f>IF(G536&lt;&gt;"",1+MAX($A$13:A535),"")</f>
        <v>338</v>
      </c>
      <c r="B536" s="178" t="s">
        <v>396</v>
      </c>
      <c r="C536" s="125" t="s">
        <v>59</v>
      </c>
      <c r="D536" s="113" t="s">
        <v>327</v>
      </c>
      <c r="E536" s="112">
        <v>6</v>
      </c>
      <c r="F536" s="107">
        <f>VLOOKUP(H536,'PROJECT SUMMARY'!$C$26:$D$32,2,0)</f>
        <v>0</v>
      </c>
      <c r="G536" s="112">
        <f t="shared" ref="G536:G539" si="483">E536*(1+F536)</f>
        <v>6</v>
      </c>
      <c r="H536" s="125" t="s">
        <v>10</v>
      </c>
      <c r="I536" s="110">
        <v>0.85</v>
      </c>
      <c r="J536" s="80">
        <f t="shared" si="479"/>
        <v>5.0999999999999996</v>
      </c>
      <c r="K536" s="106">
        <v>55</v>
      </c>
      <c r="L536" s="106">
        <f t="shared" si="480"/>
        <v>280.5</v>
      </c>
      <c r="M536" s="106">
        <v>28.57</v>
      </c>
      <c r="N536" s="106">
        <f t="shared" si="481"/>
        <v>171.42000000000002</v>
      </c>
      <c r="O536" s="106">
        <f t="shared" si="482"/>
        <v>451.92</v>
      </c>
      <c r="P536" s="108"/>
    </row>
    <row r="537" spans="1:16" s="124" customFormat="1" x14ac:dyDescent="0.25">
      <c r="A537" s="109">
        <f>IF(G537&lt;&gt;"",1+MAX($A$13:A536),"")</f>
        <v>339</v>
      </c>
      <c r="B537" s="178" t="s">
        <v>396</v>
      </c>
      <c r="C537" s="125" t="s">
        <v>59</v>
      </c>
      <c r="D537" s="113" t="s">
        <v>328</v>
      </c>
      <c r="E537" s="112">
        <v>6</v>
      </c>
      <c r="F537" s="107">
        <f>VLOOKUP(H537,'PROJECT SUMMARY'!$C$26:$D$32,2,0)</f>
        <v>0</v>
      </c>
      <c r="G537" s="112">
        <f t="shared" si="483"/>
        <v>6</v>
      </c>
      <c r="H537" s="125" t="s">
        <v>10</v>
      </c>
      <c r="I537" s="110">
        <v>0.86499999999999999</v>
      </c>
      <c r="J537" s="80">
        <f t="shared" si="479"/>
        <v>5.1899999999999995</v>
      </c>
      <c r="K537" s="106">
        <v>55</v>
      </c>
      <c r="L537" s="106">
        <f t="shared" si="480"/>
        <v>285.45</v>
      </c>
      <c r="M537" s="106">
        <v>33</v>
      </c>
      <c r="N537" s="106">
        <f t="shared" si="481"/>
        <v>198</v>
      </c>
      <c r="O537" s="106">
        <f t="shared" si="482"/>
        <v>483.45</v>
      </c>
      <c r="P537" s="108"/>
    </row>
    <row r="538" spans="1:16" s="124" customFormat="1" x14ac:dyDescent="0.25">
      <c r="A538" s="109">
        <f>IF(G538&lt;&gt;"",1+MAX($A$13:A537),"")</f>
        <v>340</v>
      </c>
      <c r="B538" s="178" t="s">
        <v>396</v>
      </c>
      <c r="C538" s="125" t="s">
        <v>59</v>
      </c>
      <c r="D538" s="113" t="s">
        <v>329</v>
      </c>
      <c r="E538" s="112">
        <v>6</v>
      </c>
      <c r="F538" s="107">
        <f>VLOOKUP(H538,'PROJECT SUMMARY'!$C$26:$D$32,2,0)</f>
        <v>0</v>
      </c>
      <c r="G538" s="112">
        <f t="shared" si="483"/>
        <v>6</v>
      </c>
      <c r="H538" s="125" t="s">
        <v>10</v>
      </c>
      <c r="I538" s="110">
        <v>0.92200000000000004</v>
      </c>
      <c r="J538" s="80">
        <f t="shared" si="479"/>
        <v>5.532</v>
      </c>
      <c r="K538" s="106">
        <v>55</v>
      </c>
      <c r="L538" s="106">
        <f t="shared" si="480"/>
        <v>304.26</v>
      </c>
      <c r="M538" s="106">
        <v>41.96</v>
      </c>
      <c r="N538" s="106">
        <f t="shared" si="481"/>
        <v>251.76</v>
      </c>
      <c r="O538" s="106">
        <f t="shared" si="482"/>
        <v>556.02</v>
      </c>
      <c r="P538" s="108"/>
    </row>
    <row r="539" spans="1:16" s="124" customFormat="1" x14ac:dyDescent="0.25">
      <c r="A539" s="109">
        <f>IF(G539&lt;&gt;"",1+MAX($A$13:A538),"")</f>
        <v>341</v>
      </c>
      <c r="B539" s="178" t="s">
        <v>396</v>
      </c>
      <c r="C539" s="125" t="s">
        <v>59</v>
      </c>
      <c r="D539" s="113" t="s">
        <v>326</v>
      </c>
      <c r="E539" s="112">
        <v>6</v>
      </c>
      <c r="F539" s="107">
        <f>VLOOKUP(H539,'PROJECT SUMMARY'!$C$26:$D$32,2,0)</f>
        <v>0</v>
      </c>
      <c r="G539" s="112">
        <f t="shared" si="483"/>
        <v>6</v>
      </c>
      <c r="H539" s="125" t="s">
        <v>10</v>
      </c>
      <c r="I539" s="110">
        <v>1.2</v>
      </c>
      <c r="J539" s="80">
        <f t="shared" si="479"/>
        <v>7.1999999999999993</v>
      </c>
      <c r="K539" s="106">
        <v>55</v>
      </c>
      <c r="L539" s="106">
        <f t="shared" si="480"/>
        <v>395.99999999999994</v>
      </c>
      <c r="M539" s="106">
        <v>66</v>
      </c>
      <c r="N539" s="106">
        <f t="shared" si="481"/>
        <v>396</v>
      </c>
      <c r="O539" s="106">
        <f t="shared" si="482"/>
        <v>792</v>
      </c>
      <c r="P539" s="108"/>
    </row>
    <row r="540" spans="1:16" s="81" customFormat="1" x14ac:dyDescent="0.25">
      <c r="A540" s="109" t="str">
        <f>IF(G540&lt;&gt;"",1+MAX($A$13:A539),"")</f>
        <v/>
      </c>
      <c r="B540" s="82"/>
      <c r="C540" s="82"/>
      <c r="D540" s="59"/>
      <c r="E540" s="31"/>
      <c r="F540" s="39"/>
      <c r="G540" s="31"/>
      <c r="H540" s="82"/>
      <c r="I540" s="110"/>
      <c r="J540" s="80"/>
      <c r="K540" s="106"/>
      <c r="L540" s="106"/>
      <c r="M540" s="106"/>
      <c r="N540" s="106"/>
      <c r="O540" s="106"/>
      <c r="P540" s="46"/>
    </row>
    <row r="541" spans="1:16" s="81" customFormat="1" x14ac:dyDescent="0.25">
      <c r="A541" s="109" t="str">
        <f>IF(G541&lt;&gt;"",1+MAX($A$13:A540),"")</f>
        <v/>
      </c>
      <c r="B541" s="82"/>
      <c r="C541" s="82"/>
      <c r="D541" s="58" t="s">
        <v>79</v>
      </c>
      <c r="E541" s="31"/>
      <c r="F541" s="39"/>
      <c r="G541" s="31"/>
      <c r="H541" s="82"/>
      <c r="I541" s="110"/>
      <c r="J541" s="80"/>
      <c r="K541" s="106"/>
      <c r="L541" s="106"/>
      <c r="M541" s="106"/>
      <c r="N541" s="106"/>
      <c r="O541" s="106"/>
      <c r="P541" s="46"/>
    </row>
    <row r="542" spans="1:16" s="81" customFormat="1" x14ac:dyDescent="0.25">
      <c r="A542" s="109">
        <f>IF(G542&lt;&gt;"",1+MAX($A$13:A541),"")</f>
        <v>342</v>
      </c>
      <c r="B542" s="178" t="s">
        <v>396</v>
      </c>
      <c r="C542" s="82" t="s">
        <v>59</v>
      </c>
      <c r="D542" s="113" t="s">
        <v>157</v>
      </c>
      <c r="E542" s="112">
        <v>21.64</v>
      </c>
      <c r="F542" s="39">
        <f>VLOOKUP(H542,'PROJECT SUMMARY'!$C$26:$D$32,2,0)</f>
        <v>0.05</v>
      </c>
      <c r="G542" s="31">
        <f t="shared" si="478"/>
        <v>22.722000000000001</v>
      </c>
      <c r="H542" s="82" t="s">
        <v>11</v>
      </c>
      <c r="I542" s="110">
        <v>1.55</v>
      </c>
      <c r="J542" s="80">
        <f t="shared" si="479"/>
        <v>35.219100000000005</v>
      </c>
      <c r="K542" s="106">
        <v>55</v>
      </c>
      <c r="L542" s="106">
        <f t="shared" si="480"/>
        <v>1937.0505000000003</v>
      </c>
      <c r="M542" s="106">
        <v>191.20171673819743</v>
      </c>
      <c r="N542" s="106">
        <f t="shared" si="481"/>
        <v>4344.4854077253221</v>
      </c>
      <c r="O542" s="106">
        <f t="shared" si="482"/>
        <v>6281.5359077253224</v>
      </c>
      <c r="P542" s="46"/>
    </row>
    <row r="543" spans="1:16" s="81" customFormat="1" ht="16.5" thickBot="1" x14ac:dyDescent="0.3">
      <c r="A543" s="109" t="str">
        <f>IF(G543&lt;&gt;"",1+MAX($A$13:A542),"")</f>
        <v/>
      </c>
      <c r="B543" s="82"/>
      <c r="C543" s="82"/>
      <c r="E543" s="31"/>
      <c r="F543" s="39"/>
      <c r="G543" s="31"/>
      <c r="H543" s="82"/>
      <c r="I543" s="110"/>
      <c r="J543" s="177"/>
      <c r="K543" s="106"/>
      <c r="L543" s="106"/>
      <c r="M543" s="106"/>
      <c r="N543" s="106"/>
      <c r="O543" s="106"/>
      <c r="P543" s="46"/>
    </row>
    <row r="544" spans="1:16" s="81" customFormat="1" ht="16.5" thickBot="1" x14ac:dyDescent="0.3">
      <c r="A544" s="89" t="str">
        <f>IF(G544&lt;&gt;"",1+MAX($A$13:A543),"")</f>
        <v/>
      </c>
      <c r="B544" s="85"/>
      <c r="C544" s="85" t="s">
        <v>88</v>
      </c>
      <c r="D544" s="83" t="s">
        <v>89</v>
      </c>
      <c r="E544" s="87"/>
      <c r="F544" s="88"/>
      <c r="G544" s="87"/>
      <c r="H544" s="87"/>
      <c r="I544" s="83"/>
      <c r="J544" s="83"/>
      <c r="K544" s="84"/>
      <c r="L544" s="84"/>
      <c r="M544" s="84"/>
      <c r="N544" s="84"/>
      <c r="O544" s="86"/>
      <c r="P544" s="90">
        <f>SUM(O545:O555)</f>
        <v>13629.04</v>
      </c>
    </row>
    <row r="545" spans="1:16" s="81" customFormat="1" x14ac:dyDescent="0.25">
      <c r="A545" s="109" t="str">
        <f>IF(G545&lt;&gt;"",1+MAX($A$13:A544),"")</f>
        <v/>
      </c>
      <c r="B545" s="82"/>
      <c r="C545" s="82"/>
      <c r="E545" s="31"/>
      <c r="F545" s="39"/>
      <c r="G545" s="31"/>
      <c r="H545" s="82"/>
      <c r="I545" s="110"/>
      <c r="J545" s="177"/>
      <c r="K545" s="106"/>
      <c r="L545" s="106"/>
      <c r="M545" s="106"/>
      <c r="N545" s="106"/>
      <c r="O545" s="106"/>
      <c r="P545" s="46"/>
    </row>
    <row r="546" spans="1:16" s="81" customFormat="1" x14ac:dyDescent="0.25">
      <c r="A546" s="109" t="str">
        <f>IF(G546&lt;&gt;"",1+MAX($A$13:A545),"")</f>
        <v/>
      </c>
      <c r="B546" s="82"/>
      <c r="C546" s="82"/>
      <c r="D546" s="58" t="s">
        <v>89</v>
      </c>
      <c r="E546" s="31"/>
      <c r="F546" s="39"/>
      <c r="G546" s="31"/>
      <c r="H546" s="82"/>
      <c r="I546" s="110"/>
      <c r="J546" s="177"/>
      <c r="K546" s="106"/>
      <c r="L546" s="106"/>
      <c r="M546" s="106"/>
      <c r="N546" s="106"/>
      <c r="O546" s="106"/>
      <c r="P546" s="46"/>
    </row>
    <row r="547" spans="1:16" s="122" customFormat="1" x14ac:dyDescent="0.25">
      <c r="A547" s="109">
        <f>IF(G547&lt;&gt;"",1+MAX($A$13:A546),"")</f>
        <v>343</v>
      </c>
      <c r="B547" s="178" t="s">
        <v>396</v>
      </c>
      <c r="C547" s="123" t="s">
        <v>88</v>
      </c>
      <c r="D547" s="113" t="s">
        <v>308</v>
      </c>
      <c r="E547" s="112">
        <v>1</v>
      </c>
      <c r="F547" s="107">
        <f>VLOOKUP(H547,'PROJECT SUMMARY'!$C$26:$D$32,2,0)</f>
        <v>0</v>
      </c>
      <c r="G547" s="112">
        <f t="shared" ref="G547:G555" si="484">E547*(1+F547)</f>
        <v>1</v>
      </c>
      <c r="H547" s="123" t="s">
        <v>10</v>
      </c>
      <c r="I547" s="110">
        <v>6.25</v>
      </c>
      <c r="J547" s="80">
        <f>I547*G547</f>
        <v>6.25</v>
      </c>
      <c r="K547" s="106">
        <v>50</v>
      </c>
      <c r="L547" s="106">
        <f>K547*J547</f>
        <v>312.5</v>
      </c>
      <c r="M547" s="106">
        <v>1932</v>
      </c>
      <c r="N547" s="106">
        <f t="shared" ref="N547:N555" si="485">M547*G547</f>
        <v>1932</v>
      </c>
      <c r="O547" s="106">
        <f t="shared" ref="O547:O555" si="486">L547+N547</f>
        <v>2244.5</v>
      </c>
      <c r="P547" s="108"/>
    </row>
    <row r="548" spans="1:16" s="122" customFormat="1" x14ac:dyDescent="0.25">
      <c r="A548" s="109">
        <f>IF(G548&lt;&gt;"",1+MAX($A$13:A547),"")</f>
        <v>344</v>
      </c>
      <c r="B548" s="178" t="s">
        <v>396</v>
      </c>
      <c r="C548" s="123" t="s">
        <v>88</v>
      </c>
      <c r="D548" s="113" t="s">
        <v>309</v>
      </c>
      <c r="E548" s="112">
        <v>1</v>
      </c>
      <c r="F548" s="107">
        <f>VLOOKUP(H548,'PROJECT SUMMARY'!$C$26:$D$32,2,0)</f>
        <v>0</v>
      </c>
      <c r="G548" s="112">
        <f t="shared" si="484"/>
        <v>1</v>
      </c>
      <c r="H548" s="123" t="s">
        <v>10</v>
      </c>
      <c r="I548" s="110">
        <v>5.22</v>
      </c>
      <c r="J548" s="80">
        <f t="shared" ref="J548:J555" si="487">I548*G548</f>
        <v>5.22</v>
      </c>
      <c r="K548" s="106">
        <v>50</v>
      </c>
      <c r="L548" s="106">
        <f t="shared" ref="L548:L555" si="488">K548*J548</f>
        <v>261</v>
      </c>
      <c r="M548" s="106">
        <v>1397</v>
      </c>
      <c r="N548" s="106">
        <f t="shared" si="485"/>
        <v>1397</v>
      </c>
      <c r="O548" s="106">
        <f t="shared" si="486"/>
        <v>1658</v>
      </c>
      <c r="P548" s="108"/>
    </row>
    <row r="549" spans="1:16" s="122" customFormat="1" x14ac:dyDescent="0.25">
      <c r="A549" s="109">
        <f>IF(G549&lt;&gt;"",1+MAX($A$13:A548),"")</f>
        <v>345</v>
      </c>
      <c r="B549" s="178" t="s">
        <v>396</v>
      </c>
      <c r="C549" s="123" t="s">
        <v>88</v>
      </c>
      <c r="D549" s="113" t="s">
        <v>310</v>
      </c>
      <c r="E549" s="112">
        <v>2</v>
      </c>
      <c r="F549" s="107">
        <f>VLOOKUP(H549,'PROJECT SUMMARY'!$C$26:$D$32,2,0)</f>
        <v>0</v>
      </c>
      <c r="G549" s="112">
        <f t="shared" si="484"/>
        <v>2</v>
      </c>
      <c r="H549" s="123" t="s">
        <v>10</v>
      </c>
      <c r="I549" s="110">
        <v>4.5999999999999996</v>
      </c>
      <c r="J549" s="80">
        <f t="shared" si="487"/>
        <v>9.1999999999999993</v>
      </c>
      <c r="K549" s="106">
        <v>50</v>
      </c>
      <c r="L549" s="106">
        <f t="shared" si="488"/>
        <v>459.99999999999994</v>
      </c>
      <c r="M549" s="106">
        <v>650</v>
      </c>
      <c r="N549" s="106">
        <f t="shared" si="485"/>
        <v>1300</v>
      </c>
      <c r="O549" s="106">
        <f t="shared" si="486"/>
        <v>1760</v>
      </c>
      <c r="P549" s="108"/>
    </row>
    <row r="550" spans="1:16" s="122" customFormat="1" x14ac:dyDescent="0.25">
      <c r="A550" s="109">
        <f>IF(G550&lt;&gt;"",1+MAX($A$13:A549),"")</f>
        <v>346</v>
      </c>
      <c r="B550" s="178" t="s">
        <v>396</v>
      </c>
      <c r="C550" s="123" t="s">
        <v>88</v>
      </c>
      <c r="D550" s="113" t="s">
        <v>311</v>
      </c>
      <c r="E550" s="112">
        <v>2</v>
      </c>
      <c r="F550" s="107">
        <f>VLOOKUP(H550,'PROJECT SUMMARY'!$C$26:$D$32,2,0)</f>
        <v>0</v>
      </c>
      <c r="G550" s="112">
        <f t="shared" si="484"/>
        <v>2</v>
      </c>
      <c r="H550" s="123" t="s">
        <v>10</v>
      </c>
      <c r="I550" s="110">
        <v>3.85</v>
      </c>
      <c r="J550" s="80">
        <f t="shared" si="487"/>
        <v>7.7</v>
      </c>
      <c r="K550" s="106">
        <v>50</v>
      </c>
      <c r="L550" s="106">
        <f t="shared" si="488"/>
        <v>385</v>
      </c>
      <c r="M550" s="106">
        <v>900</v>
      </c>
      <c r="N550" s="106">
        <f t="shared" si="485"/>
        <v>1800</v>
      </c>
      <c r="O550" s="106">
        <f t="shared" si="486"/>
        <v>2185</v>
      </c>
      <c r="P550" s="108"/>
    </row>
    <row r="551" spans="1:16" s="81" customFormat="1" x14ac:dyDescent="0.25">
      <c r="A551" s="109">
        <f>IF(G551&lt;&gt;"",1+MAX($A$13:A550),"")</f>
        <v>347</v>
      </c>
      <c r="B551" s="178" t="s">
        <v>396</v>
      </c>
      <c r="C551" s="82" t="s">
        <v>88</v>
      </c>
      <c r="D551" s="113" t="s">
        <v>318</v>
      </c>
      <c r="E551" s="112">
        <v>1</v>
      </c>
      <c r="F551" s="39">
        <f>VLOOKUP(H551,'PROJECT SUMMARY'!$C$26:$D$32,2,0)</f>
        <v>0</v>
      </c>
      <c r="G551" s="31">
        <f>E551*(1+F551)</f>
        <v>1</v>
      </c>
      <c r="H551" s="82" t="s">
        <v>10</v>
      </c>
      <c r="I551" s="110">
        <v>4.9000000000000004</v>
      </c>
      <c r="J551" s="80">
        <f>I551*G551</f>
        <v>4.9000000000000004</v>
      </c>
      <c r="K551" s="106">
        <v>50</v>
      </c>
      <c r="L551" s="106">
        <f>K551*J551</f>
        <v>245.00000000000003</v>
      </c>
      <c r="M551" s="106">
        <v>225</v>
      </c>
      <c r="N551" s="106">
        <f>M551*G551</f>
        <v>225</v>
      </c>
      <c r="O551" s="106">
        <f>L551+N551</f>
        <v>470</v>
      </c>
      <c r="P551" s="46"/>
    </row>
    <row r="552" spans="1:16" s="122" customFormat="1" x14ac:dyDescent="0.25">
      <c r="A552" s="109">
        <f>IF(G552&lt;&gt;"",1+MAX($A$13:A551),"")</f>
        <v>348</v>
      </c>
      <c r="B552" s="178" t="s">
        <v>396</v>
      </c>
      <c r="C552" s="123" t="s">
        <v>88</v>
      </c>
      <c r="D552" s="113" t="s">
        <v>319</v>
      </c>
      <c r="E552" s="112">
        <v>1</v>
      </c>
      <c r="F552" s="107">
        <f>VLOOKUP(H552,'PROJECT SUMMARY'!$C$26:$D$32,2,0)</f>
        <v>0</v>
      </c>
      <c r="G552" s="112">
        <f>E552*(1+F552)</f>
        <v>1</v>
      </c>
      <c r="H552" s="123" t="s">
        <v>10</v>
      </c>
      <c r="I552" s="110">
        <v>4.26</v>
      </c>
      <c r="J552" s="80">
        <f>I552*G552</f>
        <v>4.26</v>
      </c>
      <c r="K552" s="106">
        <v>50</v>
      </c>
      <c r="L552" s="106">
        <f>K552*J552</f>
        <v>213</v>
      </c>
      <c r="M552" s="106">
        <v>698</v>
      </c>
      <c r="N552" s="106">
        <f>M552*G552</f>
        <v>698</v>
      </c>
      <c r="O552" s="106">
        <f>L552+N552</f>
        <v>911</v>
      </c>
      <c r="P552" s="108"/>
    </row>
    <row r="553" spans="1:16" s="122" customFormat="1" x14ac:dyDescent="0.25">
      <c r="A553" s="109">
        <f>IF(G553&lt;&gt;"",1+MAX($A$13:A552),"")</f>
        <v>349</v>
      </c>
      <c r="B553" s="178" t="s">
        <v>396</v>
      </c>
      <c r="C553" s="123" t="s">
        <v>88</v>
      </c>
      <c r="D553" s="113" t="s">
        <v>256</v>
      </c>
      <c r="E553" s="112">
        <v>2</v>
      </c>
      <c r="F553" s="107">
        <f>VLOOKUP(H553,'PROJECT SUMMARY'!$C$26:$D$32,2,0)</f>
        <v>0</v>
      </c>
      <c r="G553" s="112">
        <f t="shared" si="484"/>
        <v>2</v>
      </c>
      <c r="H553" s="123" t="s">
        <v>10</v>
      </c>
      <c r="I553" s="110">
        <v>6.32</v>
      </c>
      <c r="J553" s="80">
        <f t="shared" si="487"/>
        <v>12.64</v>
      </c>
      <c r="K553" s="106">
        <v>50</v>
      </c>
      <c r="L553" s="106">
        <f t="shared" si="488"/>
        <v>632</v>
      </c>
      <c r="M553" s="106">
        <v>851.52</v>
      </c>
      <c r="N553" s="106">
        <f t="shared" si="485"/>
        <v>1703.04</v>
      </c>
      <c r="O553" s="106">
        <f t="shared" si="486"/>
        <v>2335.04</v>
      </c>
      <c r="P553" s="108"/>
    </row>
    <row r="554" spans="1:16" s="175" customFormat="1" x14ac:dyDescent="0.25">
      <c r="A554" s="109">
        <f>IF(G554&lt;&gt;"",1+MAX($A$13:A553),"")</f>
        <v>350</v>
      </c>
      <c r="B554" s="178" t="s">
        <v>396</v>
      </c>
      <c r="C554" s="176" t="s">
        <v>88</v>
      </c>
      <c r="D554" s="113" t="s">
        <v>166</v>
      </c>
      <c r="E554" s="112">
        <v>1</v>
      </c>
      <c r="F554" s="107">
        <f>VLOOKUP(H554,'PROJECT SUMMARY'!$C$26:$D$32,2,0)</f>
        <v>0</v>
      </c>
      <c r="G554" s="112">
        <f t="shared" ref="G554" si="489">E554*(1+F554)</f>
        <v>1</v>
      </c>
      <c r="H554" s="176" t="s">
        <v>10</v>
      </c>
      <c r="I554" s="110">
        <v>5.33</v>
      </c>
      <c r="J554" s="80">
        <f t="shared" si="487"/>
        <v>5.33</v>
      </c>
      <c r="K554" s="106">
        <v>50</v>
      </c>
      <c r="L554" s="106">
        <f t="shared" si="488"/>
        <v>266.5</v>
      </c>
      <c r="M554" s="106">
        <v>888</v>
      </c>
      <c r="N554" s="106">
        <f t="shared" si="485"/>
        <v>888</v>
      </c>
      <c r="O554" s="106">
        <f t="shared" si="486"/>
        <v>1154.5</v>
      </c>
      <c r="P554" s="108"/>
    </row>
    <row r="555" spans="1:16" s="122" customFormat="1" x14ac:dyDescent="0.25">
      <c r="A555" s="109">
        <f>IF(G555&lt;&gt;"",1+MAX($A$13:A554),"")</f>
        <v>351</v>
      </c>
      <c r="B555" s="178" t="s">
        <v>396</v>
      </c>
      <c r="C555" s="123" t="s">
        <v>88</v>
      </c>
      <c r="D555" s="113" t="s">
        <v>167</v>
      </c>
      <c r="E555" s="112">
        <v>1</v>
      </c>
      <c r="F555" s="107">
        <f>VLOOKUP(H555,'PROJECT SUMMARY'!$C$26:$D$32,2,0)</f>
        <v>0</v>
      </c>
      <c r="G555" s="112">
        <f t="shared" si="484"/>
        <v>1</v>
      </c>
      <c r="H555" s="123" t="s">
        <v>10</v>
      </c>
      <c r="I555" s="110">
        <v>4.88</v>
      </c>
      <c r="J555" s="80">
        <f t="shared" si="487"/>
        <v>4.88</v>
      </c>
      <c r="K555" s="106">
        <v>50</v>
      </c>
      <c r="L555" s="106">
        <f t="shared" si="488"/>
        <v>244</v>
      </c>
      <c r="M555" s="106">
        <v>667</v>
      </c>
      <c r="N555" s="106">
        <f t="shared" si="485"/>
        <v>667</v>
      </c>
      <c r="O555" s="106">
        <f t="shared" si="486"/>
        <v>911</v>
      </c>
      <c r="P555" s="108"/>
    </row>
    <row r="556" spans="1:16" ht="16.5" thickBot="1" x14ac:dyDescent="0.3">
      <c r="A556" s="109" t="str">
        <f>IF(G556&lt;&gt;"",1+MAX($A$13:A555),"")</f>
        <v/>
      </c>
      <c r="H556" s="82"/>
      <c r="I556" s="177"/>
      <c r="J556" s="177"/>
      <c r="K556" s="106"/>
      <c r="L556" s="106"/>
      <c r="M556" s="106"/>
      <c r="N556" s="106"/>
      <c r="O556" s="106"/>
      <c r="P556" s="46"/>
    </row>
    <row r="557" spans="1:16" s="81" customFormat="1" ht="16.5" thickBot="1" x14ac:dyDescent="0.3">
      <c r="A557" s="89" t="str">
        <f>IF(G557&lt;&gt;"",1+MAX($A$13:A556),"")</f>
        <v/>
      </c>
      <c r="B557" s="85"/>
      <c r="C557" s="85" t="s">
        <v>60</v>
      </c>
      <c r="D557" s="83" t="s">
        <v>63</v>
      </c>
      <c r="E557" s="87"/>
      <c r="F557" s="88"/>
      <c r="G557" s="87"/>
      <c r="H557" s="87"/>
      <c r="I557" s="83"/>
      <c r="J557" s="83"/>
      <c r="K557" s="84"/>
      <c r="L557" s="84"/>
      <c r="M557" s="84"/>
      <c r="N557" s="84"/>
      <c r="O557" s="86"/>
      <c r="P557" s="90">
        <f>SUM(O558:O577)</f>
        <v>48223.312062650002</v>
      </c>
    </row>
    <row r="558" spans="1:16" x14ac:dyDescent="0.25">
      <c r="A558" s="109" t="str">
        <f>IF(G558&lt;&gt;"",1+MAX($A$13:A557),"")</f>
        <v/>
      </c>
      <c r="H558" s="82"/>
      <c r="I558" s="177"/>
      <c r="J558" s="177"/>
      <c r="K558" s="106"/>
      <c r="L558" s="106"/>
      <c r="M558" s="106"/>
      <c r="N558" s="106"/>
      <c r="O558" s="106"/>
      <c r="P558" s="46"/>
    </row>
    <row r="559" spans="1:16" x14ac:dyDescent="0.25">
      <c r="A559" s="109" t="str">
        <f>IF(G559&lt;&gt;"",1+MAX($A$13:A558),"")</f>
        <v/>
      </c>
      <c r="D559" s="58" t="s">
        <v>64</v>
      </c>
      <c r="H559" s="82"/>
      <c r="I559" s="177"/>
      <c r="J559" s="177"/>
      <c r="K559" s="106"/>
      <c r="L559" s="106"/>
      <c r="M559" s="106"/>
      <c r="N559" s="106"/>
      <c r="O559" s="106"/>
      <c r="P559" s="46"/>
    </row>
    <row r="560" spans="1:16" x14ac:dyDescent="0.25">
      <c r="A560" s="109">
        <f>IF(G560&lt;&gt;"",1+MAX($A$13:A559),"")</f>
        <v>352</v>
      </c>
      <c r="B560" s="178" t="s">
        <v>396</v>
      </c>
      <c r="C560" s="16" t="s">
        <v>60</v>
      </c>
      <c r="D560" s="113" t="s">
        <v>168</v>
      </c>
      <c r="E560" s="112">
        <f>56.67*2</f>
        <v>113.34</v>
      </c>
      <c r="F560" s="39">
        <f>VLOOKUP(H560,'PROJECT SUMMARY'!$C$26:$D$32,2,0)</f>
        <v>0.05</v>
      </c>
      <c r="G560" s="31">
        <f>E560*(1+F560)</f>
        <v>119.00700000000001</v>
      </c>
      <c r="H560" s="82" t="s">
        <v>12</v>
      </c>
      <c r="I560" s="110">
        <v>0.2</v>
      </c>
      <c r="J560" s="111">
        <f>I560*G560</f>
        <v>23.801400000000001</v>
      </c>
      <c r="K560" s="72">
        <v>65</v>
      </c>
      <c r="L560" s="106">
        <f>K560*J560</f>
        <v>1547.0910000000001</v>
      </c>
      <c r="M560" s="106">
        <v>85.5</v>
      </c>
      <c r="N560" s="106">
        <f>M560*G560</f>
        <v>10175.0985</v>
      </c>
      <c r="O560" s="106">
        <f>L560+N560</f>
        <v>11722.1895</v>
      </c>
      <c r="P560" s="46"/>
    </row>
    <row r="561" spans="1:16" s="81" customFormat="1" x14ac:dyDescent="0.25">
      <c r="A561" s="109">
        <f>IF(G561&lt;&gt;"",1+MAX($A$13:A560),"")</f>
        <v>353</v>
      </c>
      <c r="B561" s="178" t="s">
        <v>396</v>
      </c>
      <c r="C561" s="82" t="s">
        <v>60</v>
      </c>
      <c r="D561" s="113" t="s">
        <v>169</v>
      </c>
      <c r="E561" s="112">
        <v>11.63</v>
      </c>
      <c r="F561" s="39">
        <f>VLOOKUP(H561,'PROJECT SUMMARY'!$C$26:$D$32,2,0)</f>
        <v>0.05</v>
      </c>
      <c r="G561" s="31">
        <f>E561*(1+F561)</f>
        <v>12.211500000000001</v>
      </c>
      <c r="H561" s="82" t="s">
        <v>11</v>
      </c>
      <c r="I561" s="110">
        <v>0.1</v>
      </c>
      <c r="J561" s="80">
        <f>I561*G561</f>
        <v>1.2211500000000002</v>
      </c>
      <c r="K561" s="72">
        <v>65</v>
      </c>
      <c r="L561" s="106">
        <f>K561*J561</f>
        <v>79.374750000000006</v>
      </c>
      <c r="M561" s="106">
        <v>41</v>
      </c>
      <c r="N561" s="106">
        <f>M561*G561</f>
        <v>500.67150000000004</v>
      </c>
      <c r="O561" s="106">
        <f>L561+N561</f>
        <v>580.0462500000001</v>
      </c>
      <c r="P561" s="46"/>
    </row>
    <row r="562" spans="1:16" x14ac:dyDescent="0.25">
      <c r="A562" s="109" t="str">
        <f>IF(G562&lt;&gt;"",1+MAX($A$13:A561),"")</f>
        <v/>
      </c>
      <c r="D562" s="113"/>
      <c r="E562" s="112"/>
      <c r="H562" s="82"/>
      <c r="I562" s="110"/>
      <c r="J562" s="111"/>
      <c r="K562" s="72"/>
      <c r="L562" s="106"/>
      <c r="M562" s="106"/>
      <c r="N562" s="106"/>
      <c r="O562" s="106"/>
      <c r="P562" s="46"/>
    </row>
    <row r="563" spans="1:16" s="81" customFormat="1" x14ac:dyDescent="0.25">
      <c r="A563" s="109">
        <f>IF(G563&lt;&gt;"",1+MAX($A$13:A562),"")</f>
        <v>354</v>
      </c>
      <c r="B563" s="178" t="s">
        <v>396</v>
      </c>
      <c r="C563" s="82" t="s">
        <v>60</v>
      </c>
      <c r="D563" s="113" t="s">
        <v>170</v>
      </c>
      <c r="E563" s="112">
        <v>47.17</v>
      </c>
      <c r="F563" s="39">
        <f>VLOOKUP(H563,'PROJECT SUMMARY'!$C$26:$D$32,2,0)</f>
        <v>0.05</v>
      </c>
      <c r="G563" s="31">
        <f>E563*(1+F563)</f>
        <v>49.528500000000001</v>
      </c>
      <c r="H563" s="123" t="s">
        <v>11</v>
      </c>
      <c r="I563" s="110">
        <v>1.2779999999999998</v>
      </c>
      <c r="J563" s="80">
        <f>I563*G563</f>
        <v>63.297422999999995</v>
      </c>
      <c r="K563" s="72">
        <v>65</v>
      </c>
      <c r="L563" s="106">
        <f>K563*J563</f>
        <v>4114.3324949999997</v>
      </c>
      <c r="M563" s="106">
        <v>142</v>
      </c>
      <c r="N563" s="106">
        <f>M563*G563</f>
        <v>7033.0470000000005</v>
      </c>
      <c r="O563" s="106">
        <f>L563+N563</f>
        <v>11147.379495000001</v>
      </c>
      <c r="P563" s="46"/>
    </row>
    <row r="564" spans="1:16" s="122" customFormat="1" x14ac:dyDescent="0.25">
      <c r="A564" s="109">
        <f>IF(G564&lt;&gt;"",1+MAX($A$13:A563),"")</f>
        <v>355</v>
      </c>
      <c r="B564" s="178" t="s">
        <v>396</v>
      </c>
      <c r="C564" s="123" t="s">
        <v>60</v>
      </c>
      <c r="D564" s="113" t="s">
        <v>171</v>
      </c>
      <c r="E564" s="112">
        <v>29.59</v>
      </c>
      <c r="F564" s="107">
        <f>VLOOKUP(H564,'PROJECT SUMMARY'!$C$26:$D$32,2,0)</f>
        <v>0.05</v>
      </c>
      <c r="G564" s="112">
        <f t="shared" ref="G564:G577" si="490">E564*(1+F564)</f>
        <v>31.069500000000001</v>
      </c>
      <c r="H564" s="123" t="s">
        <v>11</v>
      </c>
      <c r="I564" s="110">
        <v>1.008</v>
      </c>
      <c r="J564" s="80">
        <f t="shared" ref="J564:J577" si="491">I564*G564</f>
        <v>31.318056000000002</v>
      </c>
      <c r="K564" s="72">
        <v>65</v>
      </c>
      <c r="L564" s="106">
        <f t="shared" ref="L564:L577" si="492">K564*J564</f>
        <v>2035.6736400000002</v>
      </c>
      <c r="M564" s="106">
        <v>112</v>
      </c>
      <c r="N564" s="106">
        <f t="shared" ref="N564:N577" si="493">M564*G564</f>
        <v>3479.7840000000001</v>
      </c>
      <c r="O564" s="106">
        <f t="shared" ref="O564:O577" si="494">L564+N564</f>
        <v>5515.4576400000005</v>
      </c>
      <c r="P564" s="108"/>
    </row>
    <row r="565" spans="1:16" s="128" customFormat="1" x14ac:dyDescent="0.25">
      <c r="A565" s="109">
        <f>IF(G565&lt;&gt;"",1+MAX($A$13:A564),"")</f>
        <v>356</v>
      </c>
      <c r="B565" s="178" t="s">
        <v>396</v>
      </c>
      <c r="C565" s="129" t="s">
        <v>60</v>
      </c>
      <c r="D565" s="113" t="s">
        <v>172</v>
      </c>
      <c r="E565" s="112">
        <v>2.99</v>
      </c>
      <c r="F565" s="107">
        <f>VLOOKUP(H565,'PROJECT SUMMARY'!$C$26:$D$32,2,0)</f>
        <v>0.05</v>
      </c>
      <c r="G565" s="112">
        <f t="shared" ref="G565:G573" si="495">E565*(1+F565)</f>
        <v>3.1395000000000004</v>
      </c>
      <c r="H565" s="129" t="s">
        <v>11</v>
      </c>
      <c r="I565" s="110">
        <v>0.98099999999999987</v>
      </c>
      <c r="J565" s="80">
        <f t="shared" si="491"/>
        <v>3.0798494999999999</v>
      </c>
      <c r="K565" s="72">
        <v>65</v>
      </c>
      <c r="L565" s="106">
        <f t="shared" si="492"/>
        <v>200.19021749999999</v>
      </c>
      <c r="M565" s="106">
        <v>109</v>
      </c>
      <c r="N565" s="106">
        <f t="shared" si="493"/>
        <v>342.20550000000003</v>
      </c>
      <c r="O565" s="106">
        <f t="shared" si="494"/>
        <v>542.39571750000005</v>
      </c>
      <c r="P565" s="108"/>
    </row>
    <row r="566" spans="1:16" s="128" customFormat="1" x14ac:dyDescent="0.25">
      <c r="A566" s="109">
        <f>IF(G566&lt;&gt;"",1+MAX($A$13:A565),"")</f>
        <v>357</v>
      </c>
      <c r="B566" s="178" t="s">
        <v>396</v>
      </c>
      <c r="C566" s="129" t="s">
        <v>60</v>
      </c>
      <c r="D566" s="113" t="s">
        <v>173</v>
      </c>
      <c r="E566" s="112">
        <v>18.63</v>
      </c>
      <c r="F566" s="107">
        <f>VLOOKUP(H566,'PROJECT SUMMARY'!$C$26:$D$32,2,0)</f>
        <v>0.05</v>
      </c>
      <c r="G566" s="112">
        <f t="shared" si="495"/>
        <v>19.561499999999999</v>
      </c>
      <c r="H566" s="129" t="s">
        <v>11</v>
      </c>
      <c r="I566" s="110">
        <v>0.88712999999999986</v>
      </c>
      <c r="J566" s="80">
        <f t="shared" si="491"/>
        <v>17.353593494999995</v>
      </c>
      <c r="K566" s="72">
        <v>65</v>
      </c>
      <c r="L566" s="106">
        <f t="shared" si="492"/>
        <v>1127.9835771749997</v>
      </c>
      <c r="M566" s="106">
        <v>98.57</v>
      </c>
      <c r="N566" s="106">
        <f t="shared" si="493"/>
        <v>1928.1770549999997</v>
      </c>
      <c r="O566" s="106">
        <f t="shared" si="494"/>
        <v>3056.1606321749996</v>
      </c>
      <c r="P566" s="108"/>
    </row>
    <row r="567" spans="1:16" s="128" customFormat="1" x14ac:dyDescent="0.25">
      <c r="A567" s="109">
        <f>IF(G567&lt;&gt;"",1+MAX($A$13:A566),"")</f>
        <v>358</v>
      </c>
      <c r="B567" s="178" t="s">
        <v>396</v>
      </c>
      <c r="C567" s="129" t="s">
        <v>60</v>
      </c>
      <c r="D567" s="113" t="s">
        <v>174</v>
      </c>
      <c r="E567" s="112">
        <v>2.5299999999999998</v>
      </c>
      <c r="F567" s="107">
        <f>VLOOKUP(H567,'PROJECT SUMMARY'!$C$26:$D$32,2,0)</f>
        <v>0.05</v>
      </c>
      <c r="G567" s="112">
        <f t="shared" si="495"/>
        <v>2.6564999999999999</v>
      </c>
      <c r="H567" s="129" t="s">
        <v>11</v>
      </c>
      <c r="I567" s="110">
        <v>1.6919999999999999</v>
      </c>
      <c r="J567" s="80">
        <f t="shared" si="491"/>
        <v>4.4947979999999994</v>
      </c>
      <c r="K567" s="72">
        <v>65</v>
      </c>
      <c r="L567" s="106">
        <f t="shared" si="492"/>
        <v>292.16186999999996</v>
      </c>
      <c r="M567" s="106">
        <v>188</v>
      </c>
      <c r="N567" s="106">
        <f t="shared" si="493"/>
        <v>499.42199999999997</v>
      </c>
      <c r="O567" s="106">
        <f t="shared" si="494"/>
        <v>791.58386999999993</v>
      </c>
      <c r="P567" s="108"/>
    </row>
    <row r="568" spans="1:16" s="128" customFormat="1" x14ac:dyDescent="0.25">
      <c r="A568" s="109">
        <f>IF(G568&lt;&gt;"",1+MAX($A$13:A567),"")</f>
        <v>359</v>
      </c>
      <c r="B568" s="178" t="s">
        <v>396</v>
      </c>
      <c r="C568" s="129" t="s">
        <v>60</v>
      </c>
      <c r="D568" s="113" t="s">
        <v>175</v>
      </c>
      <c r="E568" s="112">
        <v>14.13</v>
      </c>
      <c r="F568" s="107">
        <f>VLOOKUP(H568,'PROJECT SUMMARY'!$C$26:$D$32,2,0)</f>
        <v>0.05</v>
      </c>
      <c r="G568" s="112">
        <f t="shared" si="495"/>
        <v>14.836500000000001</v>
      </c>
      <c r="H568" s="129" t="s">
        <v>11</v>
      </c>
      <c r="I568" s="110">
        <v>0.504</v>
      </c>
      <c r="J568" s="80">
        <f t="shared" si="491"/>
        <v>7.4775960000000001</v>
      </c>
      <c r="K568" s="72">
        <v>65</v>
      </c>
      <c r="L568" s="106">
        <f t="shared" si="492"/>
        <v>486.04374000000001</v>
      </c>
      <c r="M568" s="106">
        <v>56</v>
      </c>
      <c r="N568" s="106">
        <f t="shared" si="493"/>
        <v>830.84400000000005</v>
      </c>
      <c r="O568" s="106">
        <f t="shared" si="494"/>
        <v>1316.8877400000001</v>
      </c>
      <c r="P568" s="108"/>
    </row>
    <row r="569" spans="1:16" s="128" customFormat="1" x14ac:dyDescent="0.25">
      <c r="A569" s="109">
        <f>IF(G569&lt;&gt;"",1+MAX($A$13:A568),"")</f>
        <v>360</v>
      </c>
      <c r="B569" s="178" t="s">
        <v>396</v>
      </c>
      <c r="C569" s="129" t="s">
        <v>60</v>
      </c>
      <c r="D569" s="113" t="s">
        <v>176</v>
      </c>
      <c r="E569" s="112">
        <v>17.28</v>
      </c>
      <c r="F569" s="107">
        <f>VLOOKUP(H569,'PROJECT SUMMARY'!$C$26:$D$32,2,0)</f>
        <v>0.05</v>
      </c>
      <c r="G569" s="112">
        <f t="shared" si="495"/>
        <v>18.144000000000002</v>
      </c>
      <c r="H569" s="129" t="s">
        <v>11</v>
      </c>
      <c r="I569" s="110">
        <v>1.2471299999999998</v>
      </c>
      <c r="J569" s="80">
        <f t="shared" si="491"/>
        <v>22.627926720000001</v>
      </c>
      <c r="K569" s="72">
        <v>65</v>
      </c>
      <c r="L569" s="106">
        <f t="shared" si="492"/>
        <v>1470.8152368000001</v>
      </c>
      <c r="M569" s="106">
        <v>138.57</v>
      </c>
      <c r="N569" s="106">
        <f t="shared" si="493"/>
        <v>2514.2140800000002</v>
      </c>
      <c r="O569" s="106">
        <f t="shared" si="494"/>
        <v>3985.0293168000003</v>
      </c>
      <c r="P569" s="108"/>
    </row>
    <row r="570" spans="1:16" s="128" customFormat="1" x14ac:dyDescent="0.25">
      <c r="A570" s="109">
        <f>IF(G570&lt;&gt;"",1+MAX($A$13:A569),"")</f>
        <v>361</v>
      </c>
      <c r="B570" s="178" t="s">
        <v>396</v>
      </c>
      <c r="C570" s="129" t="s">
        <v>60</v>
      </c>
      <c r="D570" s="113" t="s">
        <v>177</v>
      </c>
      <c r="E570" s="112">
        <v>9.64</v>
      </c>
      <c r="F570" s="107">
        <f>VLOOKUP(H570,'PROJECT SUMMARY'!$C$26:$D$32,2,0)</f>
        <v>0.05</v>
      </c>
      <c r="G570" s="112">
        <f t="shared" si="495"/>
        <v>10.122000000000002</v>
      </c>
      <c r="H570" s="129" t="s">
        <v>11</v>
      </c>
      <c r="I570" s="110">
        <v>1.2779999999999998</v>
      </c>
      <c r="J570" s="80">
        <f t="shared" si="491"/>
        <v>12.935916000000001</v>
      </c>
      <c r="K570" s="72">
        <v>65</v>
      </c>
      <c r="L570" s="106">
        <f t="shared" si="492"/>
        <v>840.83454000000006</v>
      </c>
      <c r="M570" s="106">
        <v>142</v>
      </c>
      <c r="N570" s="106">
        <f t="shared" si="493"/>
        <v>1437.3240000000003</v>
      </c>
      <c r="O570" s="106">
        <f t="shared" si="494"/>
        <v>2278.1585400000004</v>
      </c>
      <c r="P570" s="108"/>
    </row>
    <row r="571" spans="1:16" s="128" customFormat="1" x14ac:dyDescent="0.25">
      <c r="A571" s="109">
        <f>IF(G571&lt;&gt;"",1+MAX($A$13:A570),"")</f>
        <v>362</v>
      </c>
      <c r="B571" s="178" t="s">
        <v>396</v>
      </c>
      <c r="C571" s="129" t="s">
        <v>60</v>
      </c>
      <c r="D571" s="113" t="s">
        <v>178</v>
      </c>
      <c r="E571" s="112">
        <v>2.75</v>
      </c>
      <c r="F571" s="107">
        <f>VLOOKUP(H571,'PROJECT SUMMARY'!$C$26:$D$32,2,0)</f>
        <v>0.05</v>
      </c>
      <c r="G571" s="112">
        <f t="shared" si="495"/>
        <v>2.8875000000000002</v>
      </c>
      <c r="H571" s="129" t="s">
        <v>11</v>
      </c>
      <c r="I571" s="110">
        <v>0.25712999999999997</v>
      </c>
      <c r="J571" s="80">
        <f t="shared" si="491"/>
        <v>0.74246287499999997</v>
      </c>
      <c r="K571" s="72">
        <v>65</v>
      </c>
      <c r="L571" s="106">
        <f t="shared" si="492"/>
        <v>48.260086874999999</v>
      </c>
      <c r="M571" s="106">
        <v>28.57</v>
      </c>
      <c r="N571" s="106">
        <f t="shared" si="493"/>
        <v>82.495875000000012</v>
      </c>
      <c r="O571" s="106">
        <f t="shared" si="494"/>
        <v>130.75596187500003</v>
      </c>
      <c r="P571" s="108"/>
    </row>
    <row r="572" spans="1:16" s="128" customFormat="1" x14ac:dyDescent="0.25">
      <c r="A572" s="109">
        <f>IF(G572&lt;&gt;"",1+MAX($A$13:A571),"")</f>
        <v>363</v>
      </c>
      <c r="B572" s="178" t="s">
        <v>396</v>
      </c>
      <c r="C572" s="129" t="s">
        <v>60</v>
      </c>
      <c r="D572" s="113" t="s">
        <v>179</v>
      </c>
      <c r="E572" s="112">
        <v>32.53</v>
      </c>
      <c r="F572" s="107">
        <f>VLOOKUP(H572,'PROJECT SUMMARY'!$C$26:$D$32,2,0)</f>
        <v>0.05</v>
      </c>
      <c r="G572" s="112">
        <f t="shared" si="495"/>
        <v>34.156500000000001</v>
      </c>
      <c r="H572" s="129" t="s">
        <v>11</v>
      </c>
      <c r="I572" s="110">
        <v>0.27197999999999994</v>
      </c>
      <c r="J572" s="80">
        <f t="shared" si="491"/>
        <v>9.2898848699999981</v>
      </c>
      <c r="K572" s="72">
        <v>65</v>
      </c>
      <c r="L572" s="106">
        <f t="shared" si="492"/>
        <v>603.84251654999991</v>
      </c>
      <c r="M572" s="106">
        <v>30.22</v>
      </c>
      <c r="N572" s="106">
        <f t="shared" si="493"/>
        <v>1032.2094299999999</v>
      </c>
      <c r="O572" s="106">
        <f t="shared" si="494"/>
        <v>1636.0519465499997</v>
      </c>
      <c r="P572" s="108"/>
    </row>
    <row r="573" spans="1:16" s="128" customFormat="1" x14ac:dyDescent="0.25">
      <c r="A573" s="109">
        <f>IF(G573&lt;&gt;"",1+MAX($A$13:A572),"")</f>
        <v>364</v>
      </c>
      <c r="B573" s="178" t="s">
        <v>396</v>
      </c>
      <c r="C573" s="129" t="s">
        <v>60</v>
      </c>
      <c r="D573" s="113" t="s">
        <v>180</v>
      </c>
      <c r="E573" s="112">
        <v>42.33</v>
      </c>
      <c r="F573" s="107">
        <f>VLOOKUP(H573,'PROJECT SUMMARY'!$C$26:$D$32,2,0)</f>
        <v>0.05</v>
      </c>
      <c r="G573" s="112">
        <f t="shared" si="495"/>
        <v>44.4465</v>
      </c>
      <c r="H573" s="129" t="s">
        <v>11</v>
      </c>
      <c r="I573" s="110">
        <v>0.29249999999999998</v>
      </c>
      <c r="J573" s="80">
        <f t="shared" si="491"/>
        <v>13.000601249999999</v>
      </c>
      <c r="K573" s="72">
        <v>65</v>
      </c>
      <c r="L573" s="106">
        <f t="shared" si="492"/>
        <v>845.03908124999998</v>
      </c>
      <c r="M573" s="106">
        <v>32.5</v>
      </c>
      <c r="N573" s="106">
        <f t="shared" si="493"/>
        <v>1444.51125</v>
      </c>
      <c r="O573" s="106">
        <f t="shared" si="494"/>
        <v>2289.55033125</v>
      </c>
      <c r="P573" s="108"/>
    </row>
    <row r="574" spans="1:16" s="122" customFormat="1" x14ac:dyDescent="0.25">
      <c r="A574" s="109">
        <f>IF(G574&lt;&gt;"",1+MAX($A$13:A573),"")</f>
        <v>365</v>
      </c>
      <c r="B574" s="178" t="s">
        <v>396</v>
      </c>
      <c r="C574" s="123" t="s">
        <v>60</v>
      </c>
      <c r="D574" s="113" t="s">
        <v>181</v>
      </c>
      <c r="E574" s="112">
        <v>27.95</v>
      </c>
      <c r="F574" s="107">
        <f>VLOOKUP(H574,'PROJECT SUMMARY'!$C$26:$D$32,2,0)</f>
        <v>0.05</v>
      </c>
      <c r="G574" s="112">
        <f t="shared" si="490"/>
        <v>29.3475</v>
      </c>
      <c r="H574" s="123" t="s">
        <v>11</v>
      </c>
      <c r="I574" s="110">
        <v>0.30995999999999996</v>
      </c>
      <c r="J574" s="80">
        <f t="shared" si="491"/>
        <v>9.0965510999999992</v>
      </c>
      <c r="K574" s="72">
        <v>65</v>
      </c>
      <c r="L574" s="106">
        <f t="shared" si="492"/>
        <v>591.27582149999989</v>
      </c>
      <c r="M574" s="106">
        <v>34.44</v>
      </c>
      <c r="N574" s="106">
        <f t="shared" si="493"/>
        <v>1010.7279</v>
      </c>
      <c r="O574" s="106">
        <f t="shared" si="494"/>
        <v>1602.0037214999998</v>
      </c>
      <c r="P574" s="108"/>
    </row>
    <row r="575" spans="1:16" s="122" customFormat="1" x14ac:dyDescent="0.25">
      <c r="A575" s="109">
        <f>IF(G575&lt;&gt;"",1+MAX($A$13:A574),"")</f>
        <v>366</v>
      </c>
      <c r="B575" s="178" t="s">
        <v>396</v>
      </c>
      <c r="C575" s="123" t="s">
        <v>60</v>
      </c>
      <c r="D575" s="113" t="s">
        <v>182</v>
      </c>
      <c r="E575" s="112">
        <v>34.08</v>
      </c>
      <c r="F575" s="107">
        <f>VLOOKUP(H575,'PROJECT SUMMARY'!$C$26:$D$32,2,0)</f>
        <v>0.05</v>
      </c>
      <c r="G575" s="112">
        <f t="shared" si="490"/>
        <v>35.783999999999999</v>
      </c>
      <c r="H575" s="123" t="s">
        <v>11</v>
      </c>
      <c r="I575" s="110">
        <v>0.215</v>
      </c>
      <c r="J575" s="80">
        <f t="shared" si="491"/>
        <v>7.6935599999999997</v>
      </c>
      <c r="K575" s="72">
        <v>65</v>
      </c>
      <c r="L575" s="106">
        <f t="shared" si="492"/>
        <v>500.08139999999997</v>
      </c>
      <c r="M575" s="106">
        <v>20</v>
      </c>
      <c r="N575" s="106">
        <f t="shared" si="493"/>
        <v>715.68</v>
      </c>
      <c r="O575" s="106">
        <f t="shared" si="494"/>
        <v>1215.7613999999999</v>
      </c>
      <c r="P575" s="108"/>
    </row>
    <row r="576" spans="1:16" s="122" customFormat="1" x14ac:dyDescent="0.25">
      <c r="A576" s="109" t="str">
        <f>IF(G576&lt;&gt;"",1+MAX($A$13:A575),"")</f>
        <v/>
      </c>
      <c r="B576" s="178"/>
      <c r="C576" s="123"/>
      <c r="D576" s="113"/>
      <c r="E576" s="112"/>
      <c r="F576" s="107"/>
      <c r="G576" s="112"/>
      <c r="H576" s="123"/>
      <c r="I576" s="110"/>
      <c r="J576" s="80"/>
      <c r="K576" s="106"/>
      <c r="L576" s="106"/>
      <c r="M576" s="106"/>
      <c r="N576" s="106"/>
      <c r="O576" s="106"/>
      <c r="P576" s="108"/>
    </row>
    <row r="577" spans="1:16" s="122" customFormat="1" x14ac:dyDescent="0.25">
      <c r="A577" s="109">
        <f>IF(G577&lt;&gt;"",1+MAX($A$13:A576),"")</f>
        <v>367</v>
      </c>
      <c r="B577" s="178" t="s">
        <v>396</v>
      </c>
      <c r="C577" s="123" t="s">
        <v>60</v>
      </c>
      <c r="D577" s="113" t="s">
        <v>183</v>
      </c>
      <c r="E577" s="112">
        <v>1</v>
      </c>
      <c r="F577" s="107">
        <f>VLOOKUP(H577,'PROJECT SUMMARY'!$C$26:$D$32,2,0)</f>
        <v>0</v>
      </c>
      <c r="G577" s="112">
        <f t="shared" si="490"/>
        <v>1</v>
      </c>
      <c r="H577" s="123" t="s">
        <v>10</v>
      </c>
      <c r="I577" s="110">
        <v>2.86</v>
      </c>
      <c r="J577" s="80">
        <f t="shared" si="491"/>
        <v>2.86</v>
      </c>
      <c r="K577" s="72">
        <v>65</v>
      </c>
      <c r="L577" s="106">
        <f t="shared" si="492"/>
        <v>185.9</v>
      </c>
      <c r="M577" s="106">
        <v>228</v>
      </c>
      <c r="N577" s="106">
        <f t="shared" si="493"/>
        <v>228</v>
      </c>
      <c r="O577" s="106">
        <f t="shared" si="494"/>
        <v>413.9</v>
      </c>
      <c r="P577" s="108"/>
    </row>
    <row r="578" spans="1:16" s="145" customFormat="1" ht="16.5" thickBot="1" x14ac:dyDescent="0.3">
      <c r="A578" s="109" t="str">
        <f>IF(G578&lt;&gt;"",1+MAX($A$13:A577),"")</f>
        <v/>
      </c>
      <c r="B578" s="146"/>
      <c r="C578" s="146"/>
      <c r="E578" s="112"/>
      <c r="F578" s="107"/>
      <c r="G578" s="112"/>
      <c r="H578" s="146"/>
      <c r="K578" s="106"/>
      <c r="L578" s="106"/>
      <c r="M578" s="106"/>
      <c r="N578" s="106"/>
      <c r="O578" s="106"/>
      <c r="P578" s="108"/>
    </row>
    <row r="579" spans="1:16" s="145" customFormat="1" ht="16.5" thickBot="1" x14ac:dyDescent="0.3">
      <c r="A579" s="89" t="str">
        <f>IF(G579&lt;&gt;"",1+MAX($A$13:A578),"")</f>
        <v/>
      </c>
      <c r="B579" s="85"/>
      <c r="C579" s="85" t="s">
        <v>211</v>
      </c>
      <c r="D579" s="83" t="s">
        <v>212</v>
      </c>
      <c r="E579" s="87"/>
      <c r="F579" s="88"/>
      <c r="G579" s="87"/>
      <c r="H579" s="87"/>
      <c r="I579" s="83"/>
      <c r="J579" s="83"/>
      <c r="K579" s="84"/>
      <c r="L579" s="84"/>
      <c r="M579" s="84"/>
      <c r="N579" s="84"/>
      <c r="O579" s="86"/>
      <c r="P579" s="90">
        <f>SUM(O580:O581)</f>
        <v>38600</v>
      </c>
    </row>
    <row r="580" spans="1:16" s="145" customFormat="1" x14ac:dyDescent="0.25">
      <c r="A580" s="109" t="str">
        <f>IF(G580&lt;&gt;"",1+MAX($A$13:A579),"")</f>
        <v/>
      </c>
      <c r="B580" s="146"/>
      <c r="C580" s="146"/>
      <c r="E580" s="112"/>
      <c r="F580" s="107"/>
      <c r="G580" s="112"/>
      <c r="H580" s="146"/>
      <c r="K580" s="106"/>
      <c r="L580" s="106"/>
      <c r="M580" s="106"/>
      <c r="N580" s="106"/>
      <c r="O580" s="106"/>
      <c r="P580" s="108"/>
    </row>
    <row r="581" spans="1:16" s="145" customFormat="1" x14ac:dyDescent="0.25">
      <c r="A581" s="109">
        <f>IF(G581&lt;&gt;"",1+MAX($A$13:A580),"")</f>
        <v>368</v>
      </c>
      <c r="B581" s="146" t="s">
        <v>379</v>
      </c>
      <c r="C581" s="146" t="s">
        <v>211</v>
      </c>
      <c r="D581" s="113" t="s">
        <v>213</v>
      </c>
      <c r="E581" s="112">
        <v>1</v>
      </c>
      <c r="F581" s="107">
        <f>VLOOKUP(H581,'PROJECT SUMMARY'!$C$26:$D$32,2,0)</f>
        <v>0</v>
      </c>
      <c r="G581" s="112">
        <f>E581*(1+F581)</f>
        <v>1</v>
      </c>
      <c r="H581" s="146" t="s">
        <v>10</v>
      </c>
      <c r="I581" s="110">
        <v>55</v>
      </c>
      <c r="J581" s="111">
        <f>I581*G581</f>
        <v>55</v>
      </c>
      <c r="K581" s="72">
        <v>120</v>
      </c>
      <c r="L581" s="106">
        <f>K581*J581</f>
        <v>6600</v>
      </c>
      <c r="M581" s="106">
        <v>32000</v>
      </c>
      <c r="N581" s="106">
        <f>M581*G581</f>
        <v>32000</v>
      </c>
      <c r="O581" s="106">
        <f>L581+N581</f>
        <v>38600</v>
      </c>
      <c r="P581" s="108"/>
    </row>
    <row r="582" spans="1:16" s="81" customFormat="1" ht="16.5" thickBot="1" x14ac:dyDescent="0.3">
      <c r="A582" s="109" t="str">
        <f>IF(G582&lt;&gt;"",1+MAX($A$13:A581),"")</f>
        <v/>
      </c>
      <c r="B582" s="82"/>
      <c r="C582" s="82"/>
      <c r="D582" s="59"/>
      <c r="E582" s="31"/>
      <c r="F582" s="39"/>
      <c r="G582" s="31"/>
      <c r="H582" s="82"/>
      <c r="I582" s="110"/>
      <c r="J582" s="111"/>
      <c r="K582" s="72"/>
      <c r="L582" s="106"/>
      <c r="M582" s="106"/>
      <c r="N582" s="106"/>
      <c r="O582" s="106"/>
      <c r="P582" s="46"/>
    </row>
    <row r="583" spans="1:16" s="81" customFormat="1" ht="16.5" thickBot="1" x14ac:dyDescent="0.3">
      <c r="A583" s="89" t="str">
        <f>IF(G583&lt;&gt;"",1+MAX($A$13:A582),"")</f>
        <v/>
      </c>
      <c r="B583" s="85"/>
      <c r="C583" s="85" t="s">
        <v>90</v>
      </c>
      <c r="D583" s="83" t="s">
        <v>91</v>
      </c>
      <c r="E583" s="87"/>
      <c r="F583" s="88"/>
      <c r="G583" s="87"/>
      <c r="H583" s="87"/>
      <c r="I583" s="83"/>
      <c r="J583" s="83"/>
      <c r="K583" s="84"/>
      <c r="L583" s="84"/>
      <c r="M583" s="84"/>
      <c r="N583" s="84"/>
      <c r="O583" s="86"/>
      <c r="P583" s="90">
        <f>SUM(O584:O605)</f>
        <v>73248.500000000029</v>
      </c>
    </row>
    <row r="584" spans="1:16" s="81" customFormat="1" x14ac:dyDescent="0.25">
      <c r="A584" s="109" t="str">
        <f>IF(G584&lt;&gt;"",1+MAX($A$13:A583),"")</f>
        <v/>
      </c>
      <c r="B584" s="82"/>
      <c r="C584" s="82"/>
      <c r="D584" s="59"/>
      <c r="E584" s="31"/>
      <c r="F584" s="39"/>
      <c r="G584" s="31"/>
      <c r="H584" s="82"/>
      <c r="I584" s="110"/>
      <c r="J584" s="111"/>
      <c r="K584" s="72"/>
      <c r="L584" s="106"/>
      <c r="M584" s="106"/>
      <c r="N584" s="106"/>
      <c r="O584" s="106"/>
      <c r="P584" s="46"/>
    </row>
    <row r="585" spans="1:16" s="81" customFormat="1" x14ac:dyDescent="0.25">
      <c r="A585" s="109">
        <f>IF(G585&lt;&gt;"",1+MAX($A$13:A584),"")</f>
        <v>369</v>
      </c>
      <c r="B585" s="82"/>
      <c r="C585" s="82" t="s">
        <v>90</v>
      </c>
      <c r="D585" s="113" t="s">
        <v>156</v>
      </c>
      <c r="E585" s="112">
        <v>1</v>
      </c>
      <c r="F585" s="39">
        <f>VLOOKUP(H585,'PROJECT SUMMARY'!$C$26:$D$32,2,0)</f>
        <v>0</v>
      </c>
      <c r="G585" s="31">
        <f t="shared" ref="G585:G608" si="496">E585*(1+F585)</f>
        <v>1</v>
      </c>
      <c r="H585" s="82" t="s">
        <v>13</v>
      </c>
      <c r="I585" s="110">
        <v>280.00000000000028</v>
      </c>
      <c r="J585" s="111">
        <f t="shared" ref="J585" si="497">I585*G585</f>
        <v>280.00000000000028</v>
      </c>
      <c r="K585" s="72">
        <v>90</v>
      </c>
      <c r="L585" s="106">
        <f t="shared" ref="L585" si="498">K585*J585</f>
        <v>25200.000000000025</v>
      </c>
      <c r="M585" s="106">
        <v>10800</v>
      </c>
      <c r="N585" s="106">
        <f t="shared" ref="N585:N608" si="499">M585*G585</f>
        <v>10800</v>
      </c>
      <c r="O585" s="106">
        <f t="shared" ref="O585:O608" si="500">L585+N585</f>
        <v>36000.000000000029</v>
      </c>
      <c r="P585" s="46"/>
    </row>
    <row r="586" spans="1:16" s="81" customFormat="1" x14ac:dyDescent="0.25">
      <c r="A586" s="109" t="str">
        <f>IF(G586&lt;&gt;"",1+MAX($A$13:A585),"")</f>
        <v/>
      </c>
      <c r="B586" s="82"/>
      <c r="C586" s="82"/>
      <c r="D586" s="59"/>
      <c r="E586" s="31"/>
      <c r="F586" s="39"/>
      <c r="G586" s="31"/>
      <c r="H586" s="82"/>
      <c r="I586" s="110"/>
      <c r="J586" s="111"/>
      <c r="K586" s="72"/>
      <c r="L586" s="106"/>
      <c r="M586" s="106"/>
      <c r="N586" s="106"/>
      <c r="O586" s="106"/>
      <c r="P586" s="46"/>
    </row>
    <row r="587" spans="1:16" s="81" customFormat="1" ht="18.75" x14ac:dyDescent="0.25">
      <c r="A587" s="109" t="str">
        <f>IF(G587&lt;&gt;"",1+MAX($A$13:A586),"")</f>
        <v/>
      </c>
      <c r="B587" s="82"/>
      <c r="C587" s="82"/>
      <c r="D587" s="78" t="s">
        <v>92</v>
      </c>
      <c r="E587"/>
      <c r="F587" s="39"/>
      <c r="G587" s="31"/>
      <c r="H587" s="82"/>
      <c r="I587" s="110"/>
      <c r="J587" s="111"/>
      <c r="K587" s="72"/>
      <c r="L587" s="106"/>
      <c r="M587" s="106"/>
      <c r="N587" s="106"/>
      <c r="O587" s="106"/>
      <c r="P587" s="46"/>
    </row>
    <row r="588" spans="1:16" s="81" customFormat="1" x14ac:dyDescent="0.25">
      <c r="A588" s="109">
        <f>IF(G588&lt;&gt;"",1+MAX($A$13:A587),"")</f>
        <v>370</v>
      </c>
      <c r="B588" s="82" t="s">
        <v>381</v>
      </c>
      <c r="C588" s="82" t="s">
        <v>90</v>
      </c>
      <c r="D588" s="113" t="s">
        <v>164</v>
      </c>
      <c r="E588" s="112">
        <v>2</v>
      </c>
      <c r="F588" s="39">
        <f>VLOOKUP(H588,'PROJECT SUMMARY'!$C$26:$D$32,2,0)</f>
        <v>0</v>
      </c>
      <c r="G588" s="31">
        <f t="shared" si="496"/>
        <v>2</v>
      </c>
      <c r="H588" s="82" t="s">
        <v>10</v>
      </c>
      <c r="I588" s="110">
        <v>1.8720000000000001</v>
      </c>
      <c r="J588" s="111">
        <f t="shared" ref="J588:J589" si="501">I588*G588</f>
        <v>3.7440000000000002</v>
      </c>
      <c r="K588" s="72">
        <v>90</v>
      </c>
      <c r="L588" s="106">
        <f t="shared" ref="L588:L589" si="502">K588*J588</f>
        <v>336.96000000000004</v>
      </c>
      <c r="M588" s="106">
        <v>156</v>
      </c>
      <c r="N588" s="106">
        <f t="shared" si="499"/>
        <v>312</v>
      </c>
      <c r="O588" s="106">
        <f t="shared" si="500"/>
        <v>648.96</v>
      </c>
      <c r="P588" s="46"/>
    </row>
    <row r="589" spans="1:16" s="122" customFormat="1" x14ac:dyDescent="0.25">
      <c r="A589" s="109">
        <f>IF(G589&lt;&gt;"",1+MAX($A$13:A588),"")</f>
        <v>371</v>
      </c>
      <c r="B589" s="178" t="s">
        <v>381</v>
      </c>
      <c r="C589" s="178" t="s">
        <v>90</v>
      </c>
      <c r="D589" s="113" t="s">
        <v>165</v>
      </c>
      <c r="E589" s="112">
        <v>1</v>
      </c>
      <c r="F589" s="107">
        <f>VLOOKUP(H589,'PROJECT SUMMARY'!$C$26:$D$32,2,0)</f>
        <v>0</v>
      </c>
      <c r="G589" s="112">
        <f t="shared" ref="G589" si="503">E589*(1+F589)</f>
        <v>1</v>
      </c>
      <c r="H589" s="123" t="s">
        <v>10</v>
      </c>
      <c r="I589" s="110">
        <v>12.94</v>
      </c>
      <c r="J589" s="111">
        <f t="shared" si="501"/>
        <v>12.94</v>
      </c>
      <c r="K589" s="72">
        <v>90</v>
      </c>
      <c r="L589" s="106">
        <f t="shared" si="502"/>
        <v>1164.5999999999999</v>
      </c>
      <c r="M589" s="106">
        <v>1294</v>
      </c>
      <c r="N589" s="106">
        <f t="shared" si="499"/>
        <v>1294</v>
      </c>
      <c r="O589" s="106">
        <f t="shared" si="500"/>
        <v>2458.6</v>
      </c>
      <c r="P589" s="108"/>
    </row>
    <row r="590" spans="1:16" s="122" customFormat="1" x14ac:dyDescent="0.25">
      <c r="A590" s="109">
        <f>IF(G590&lt;&gt;"",1+MAX($A$13:A589),"")</f>
        <v>372</v>
      </c>
      <c r="B590" s="178" t="s">
        <v>396</v>
      </c>
      <c r="C590" s="178" t="s">
        <v>90</v>
      </c>
      <c r="D590" s="113" t="s">
        <v>312</v>
      </c>
      <c r="E590" s="112">
        <v>2</v>
      </c>
      <c r="F590" s="107">
        <f>VLOOKUP(H590,'PROJECT SUMMARY'!$C$26:$D$32,2,0)</f>
        <v>0</v>
      </c>
      <c r="G590" s="112">
        <f>E590*(1+F590)</f>
        <v>2</v>
      </c>
      <c r="H590" s="123" t="s">
        <v>10</v>
      </c>
      <c r="I590" s="110">
        <v>4.6309999999999993</v>
      </c>
      <c r="J590" s="80">
        <f>I590*G590</f>
        <v>9.2619999999999987</v>
      </c>
      <c r="K590" s="72">
        <v>90</v>
      </c>
      <c r="L590" s="106">
        <f>K590*J590</f>
        <v>833.57999999999993</v>
      </c>
      <c r="M590" s="106">
        <v>421</v>
      </c>
      <c r="N590" s="106">
        <f>M590*G590</f>
        <v>842</v>
      </c>
      <c r="O590" s="106">
        <f>L590+N590</f>
        <v>1675.58</v>
      </c>
      <c r="P590" s="108"/>
    </row>
    <row r="591" spans="1:16" s="122" customFormat="1" x14ac:dyDescent="0.25">
      <c r="A591" s="109">
        <f>IF(G591&lt;&gt;"",1+MAX($A$13:A590),"")</f>
        <v>373</v>
      </c>
      <c r="B591" s="178" t="s">
        <v>396</v>
      </c>
      <c r="C591" s="178" t="s">
        <v>90</v>
      </c>
      <c r="D591" s="113" t="s">
        <v>313</v>
      </c>
      <c r="E591" s="112">
        <v>8</v>
      </c>
      <c r="F591" s="107">
        <f>VLOOKUP(H591,'PROJECT SUMMARY'!$C$26:$D$32,2,0)</f>
        <v>0</v>
      </c>
      <c r="G591" s="112">
        <f>E591*(1+F591)</f>
        <v>8</v>
      </c>
      <c r="H591" s="123" t="s">
        <v>10</v>
      </c>
      <c r="I591" s="110">
        <v>3.9269999999999996</v>
      </c>
      <c r="J591" s="80">
        <f>I591*G591</f>
        <v>31.415999999999997</v>
      </c>
      <c r="K591" s="72">
        <v>90</v>
      </c>
      <c r="L591" s="106">
        <f>K591*J591</f>
        <v>2827.4399999999996</v>
      </c>
      <c r="M591" s="106">
        <v>357</v>
      </c>
      <c r="N591" s="106">
        <f>M591*G591</f>
        <v>2856</v>
      </c>
      <c r="O591" s="106">
        <f>L591+N591</f>
        <v>5683.44</v>
      </c>
      <c r="P591" s="108"/>
    </row>
    <row r="592" spans="1:16" s="126" customFormat="1" x14ac:dyDescent="0.25">
      <c r="A592" s="109">
        <f>IF(G592&lt;&gt;"",1+MAX($A$13:A591),"")</f>
        <v>374</v>
      </c>
      <c r="B592" s="178" t="s">
        <v>396</v>
      </c>
      <c r="C592" s="178" t="s">
        <v>90</v>
      </c>
      <c r="D592" s="113" t="s">
        <v>314</v>
      </c>
      <c r="E592" s="112">
        <v>1</v>
      </c>
      <c r="F592" s="107">
        <f>VLOOKUP(H592,'PROJECT SUMMARY'!$C$26:$D$32,2,0)</f>
        <v>0</v>
      </c>
      <c r="G592" s="112">
        <f t="shared" ref="G592:G593" si="504">E592*(1+F592)</f>
        <v>1</v>
      </c>
      <c r="H592" s="127" t="s">
        <v>10</v>
      </c>
      <c r="I592" s="110">
        <v>3.6079999999999997</v>
      </c>
      <c r="J592" s="80">
        <f t="shared" ref="J592:J600" si="505">I592*G592</f>
        <v>3.6079999999999997</v>
      </c>
      <c r="K592" s="72">
        <v>90</v>
      </c>
      <c r="L592" s="106">
        <f t="shared" ref="L592:L600" si="506">K592*J592</f>
        <v>324.71999999999997</v>
      </c>
      <c r="M592" s="106">
        <v>328</v>
      </c>
      <c r="N592" s="106">
        <f t="shared" ref="N592:N600" si="507">M592*G592</f>
        <v>328</v>
      </c>
      <c r="O592" s="106">
        <f t="shared" ref="O592:O600" si="508">L592+N592</f>
        <v>652.72</v>
      </c>
      <c r="P592" s="108"/>
    </row>
    <row r="593" spans="1:16" s="126" customFormat="1" x14ac:dyDescent="0.25">
      <c r="A593" s="109">
        <f>IF(G593&lt;&gt;"",1+MAX($A$13:A592),"")</f>
        <v>375</v>
      </c>
      <c r="B593" s="178" t="s">
        <v>396</v>
      </c>
      <c r="C593" s="178" t="s">
        <v>90</v>
      </c>
      <c r="D593" s="113" t="s">
        <v>315</v>
      </c>
      <c r="E593" s="112">
        <v>2</v>
      </c>
      <c r="F593" s="107">
        <f>VLOOKUP(H593,'PROJECT SUMMARY'!$C$26:$D$32,2,0)</f>
        <v>0</v>
      </c>
      <c r="G593" s="112">
        <f t="shared" si="504"/>
        <v>2</v>
      </c>
      <c r="H593" s="127" t="s">
        <v>10</v>
      </c>
      <c r="I593" s="110">
        <v>3.3219999999999996</v>
      </c>
      <c r="J593" s="80">
        <f t="shared" si="505"/>
        <v>6.6439999999999992</v>
      </c>
      <c r="K593" s="72">
        <v>90</v>
      </c>
      <c r="L593" s="106">
        <f t="shared" si="506"/>
        <v>597.95999999999992</v>
      </c>
      <c r="M593" s="106">
        <v>302</v>
      </c>
      <c r="N593" s="106">
        <f t="shared" si="507"/>
        <v>604</v>
      </c>
      <c r="O593" s="106">
        <f t="shared" si="508"/>
        <v>1201.96</v>
      </c>
      <c r="P593" s="108"/>
    </row>
    <row r="594" spans="1:16" s="122" customFormat="1" x14ac:dyDescent="0.25">
      <c r="A594" s="109">
        <f>IF(G594&lt;&gt;"",1+MAX($A$13:A593),"")</f>
        <v>376</v>
      </c>
      <c r="B594" s="178" t="s">
        <v>396</v>
      </c>
      <c r="C594" s="178" t="s">
        <v>90</v>
      </c>
      <c r="D594" s="113" t="s">
        <v>316</v>
      </c>
      <c r="E594" s="112">
        <v>1</v>
      </c>
      <c r="F594" s="107">
        <f>VLOOKUP(H594,'PROJECT SUMMARY'!$C$26:$D$32,2,0)</f>
        <v>0</v>
      </c>
      <c r="G594" s="112">
        <f t="shared" ref="G594:G600" si="509">E594*(1+F594)</f>
        <v>1</v>
      </c>
      <c r="H594" s="123" t="s">
        <v>10</v>
      </c>
      <c r="I594" s="110">
        <v>2.431</v>
      </c>
      <c r="J594" s="80">
        <f t="shared" si="505"/>
        <v>2.431</v>
      </c>
      <c r="K594" s="72">
        <v>90</v>
      </c>
      <c r="L594" s="106">
        <f t="shared" si="506"/>
        <v>218.79</v>
      </c>
      <c r="M594" s="106">
        <v>221</v>
      </c>
      <c r="N594" s="106">
        <f t="shared" si="507"/>
        <v>221</v>
      </c>
      <c r="O594" s="106">
        <f t="shared" si="508"/>
        <v>439.78999999999996</v>
      </c>
      <c r="P594" s="108"/>
    </row>
    <row r="595" spans="1:16" s="122" customFormat="1" x14ac:dyDescent="0.25">
      <c r="A595" s="109">
        <f>IF(G595&lt;&gt;"",1+MAX($A$13:A594),"")</f>
        <v>377</v>
      </c>
      <c r="B595" s="178" t="s">
        <v>396</v>
      </c>
      <c r="C595" s="178" t="s">
        <v>90</v>
      </c>
      <c r="D595" s="113" t="s">
        <v>317</v>
      </c>
      <c r="E595" s="112">
        <v>9</v>
      </c>
      <c r="F595" s="107">
        <f>VLOOKUP(H595,'PROJECT SUMMARY'!$C$26:$D$32,2,0)</f>
        <v>0</v>
      </c>
      <c r="G595" s="112">
        <f t="shared" si="509"/>
        <v>9</v>
      </c>
      <c r="H595" s="123" t="s">
        <v>10</v>
      </c>
      <c r="I595" s="110">
        <v>2.794</v>
      </c>
      <c r="J595" s="80">
        <f t="shared" si="505"/>
        <v>25.146000000000001</v>
      </c>
      <c r="K595" s="72">
        <v>90</v>
      </c>
      <c r="L595" s="106">
        <f t="shared" si="506"/>
        <v>2263.14</v>
      </c>
      <c r="M595" s="106">
        <v>254</v>
      </c>
      <c r="N595" s="106">
        <f t="shared" si="507"/>
        <v>2286</v>
      </c>
      <c r="O595" s="106">
        <f t="shared" si="508"/>
        <v>4549.1399999999994</v>
      </c>
      <c r="P595" s="108"/>
    </row>
    <row r="596" spans="1:16" s="122" customFormat="1" x14ac:dyDescent="0.25">
      <c r="A596" s="109">
        <f>IF(G596&lt;&gt;"",1+MAX($A$13:A595),"")</f>
        <v>378</v>
      </c>
      <c r="B596" s="178" t="s">
        <v>396</v>
      </c>
      <c r="C596" s="178" t="s">
        <v>90</v>
      </c>
      <c r="D596" s="113" t="s">
        <v>323</v>
      </c>
      <c r="E596" s="112">
        <v>1</v>
      </c>
      <c r="F596" s="107">
        <f>VLOOKUP(H596,'PROJECT SUMMARY'!$C$26:$D$32,2,0)</f>
        <v>0</v>
      </c>
      <c r="G596" s="112">
        <f t="shared" si="509"/>
        <v>1</v>
      </c>
      <c r="H596" s="123" t="s">
        <v>10</v>
      </c>
      <c r="I596" s="110">
        <v>10.460999999999999</v>
      </c>
      <c r="J596" s="80">
        <f t="shared" si="505"/>
        <v>10.460999999999999</v>
      </c>
      <c r="K596" s="72">
        <v>90</v>
      </c>
      <c r="L596" s="106">
        <f t="shared" si="506"/>
        <v>941.4899999999999</v>
      </c>
      <c r="M596" s="106">
        <v>951</v>
      </c>
      <c r="N596" s="106">
        <f t="shared" si="507"/>
        <v>951</v>
      </c>
      <c r="O596" s="106">
        <f t="shared" si="508"/>
        <v>1892.4899999999998</v>
      </c>
      <c r="P596" s="108"/>
    </row>
    <row r="597" spans="1:16" s="122" customFormat="1" x14ac:dyDescent="0.25">
      <c r="A597" s="109">
        <f>IF(G597&lt;&gt;"",1+MAX($A$13:A596),"")</f>
        <v>379</v>
      </c>
      <c r="B597" s="178" t="s">
        <v>396</v>
      </c>
      <c r="C597" s="178" t="s">
        <v>90</v>
      </c>
      <c r="D597" s="113" t="s">
        <v>324</v>
      </c>
      <c r="E597" s="112">
        <v>1</v>
      </c>
      <c r="F597" s="107">
        <f>VLOOKUP(H597,'PROJECT SUMMARY'!$C$26:$D$32,2,0)</f>
        <v>0</v>
      </c>
      <c r="G597" s="112">
        <f t="shared" si="509"/>
        <v>1</v>
      </c>
      <c r="H597" s="123" t="s">
        <v>10</v>
      </c>
      <c r="I597" s="110">
        <v>12.122</v>
      </c>
      <c r="J597" s="80">
        <f t="shared" si="505"/>
        <v>12.122</v>
      </c>
      <c r="K597" s="72">
        <v>90</v>
      </c>
      <c r="L597" s="106">
        <f t="shared" si="506"/>
        <v>1090.98</v>
      </c>
      <c r="M597" s="106">
        <v>1102</v>
      </c>
      <c r="N597" s="106">
        <f t="shared" si="507"/>
        <v>1102</v>
      </c>
      <c r="O597" s="106">
        <f t="shared" si="508"/>
        <v>2192.98</v>
      </c>
      <c r="P597" s="108"/>
    </row>
    <row r="598" spans="1:16" s="122" customFormat="1" x14ac:dyDescent="0.25">
      <c r="A598" s="109">
        <f>IF(G598&lt;&gt;"",1+MAX($A$13:A597),"")</f>
        <v>380</v>
      </c>
      <c r="B598" s="178" t="s">
        <v>396</v>
      </c>
      <c r="C598" s="178" t="s">
        <v>90</v>
      </c>
      <c r="D598" s="113" t="s">
        <v>320</v>
      </c>
      <c r="E598" s="112">
        <v>2</v>
      </c>
      <c r="F598" s="107">
        <f>VLOOKUP(H598,'PROJECT SUMMARY'!$C$26:$D$32,2,0)</f>
        <v>0</v>
      </c>
      <c r="G598" s="112">
        <f t="shared" si="509"/>
        <v>2</v>
      </c>
      <c r="H598" s="123" t="s">
        <v>10</v>
      </c>
      <c r="I598" s="110">
        <v>2.508</v>
      </c>
      <c r="J598" s="80">
        <f t="shared" si="505"/>
        <v>5.016</v>
      </c>
      <c r="K598" s="72">
        <v>90</v>
      </c>
      <c r="L598" s="106">
        <f t="shared" si="506"/>
        <v>451.44</v>
      </c>
      <c r="M598" s="106">
        <v>228</v>
      </c>
      <c r="N598" s="106">
        <f t="shared" si="507"/>
        <v>456</v>
      </c>
      <c r="O598" s="106">
        <f t="shared" si="508"/>
        <v>907.44</v>
      </c>
      <c r="P598" s="108"/>
    </row>
    <row r="599" spans="1:16" s="122" customFormat="1" x14ac:dyDescent="0.25">
      <c r="A599" s="109">
        <f>IF(G599&lt;&gt;"",1+MAX($A$13:A598),"")</f>
        <v>381</v>
      </c>
      <c r="B599" s="178" t="s">
        <v>396</v>
      </c>
      <c r="C599" s="178" t="s">
        <v>90</v>
      </c>
      <c r="D599" s="113" t="s">
        <v>321</v>
      </c>
      <c r="E599" s="112">
        <v>5</v>
      </c>
      <c r="F599" s="107">
        <f>VLOOKUP(H599,'PROJECT SUMMARY'!$C$26:$D$32,2,0)</f>
        <v>0</v>
      </c>
      <c r="G599" s="112">
        <f t="shared" si="509"/>
        <v>5</v>
      </c>
      <c r="H599" s="123" t="s">
        <v>10</v>
      </c>
      <c r="I599" s="110">
        <v>2.9</v>
      </c>
      <c r="J599" s="111">
        <f t="shared" si="505"/>
        <v>14.5</v>
      </c>
      <c r="K599" s="72">
        <v>90</v>
      </c>
      <c r="L599" s="106">
        <f t="shared" si="506"/>
        <v>1305</v>
      </c>
      <c r="M599" s="106">
        <v>328</v>
      </c>
      <c r="N599" s="106">
        <f t="shared" si="507"/>
        <v>1640</v>
      </c>
      <c r="O599" s="106">
        <f t="shared" si="508"/>
        <v>2945</v>
      </c>
      <c r="P599" s="108"/>
    </row>
    <row r="600" spans="1:16" s="122" customFormat="1" x14ac:dyDescent="0.25">
      <c r="A600" s="109">
        <f>IF(G600&lt;&gt;"",1+MAX($A$13:A599),"")</f>
        <v>382</v>
      </c>
      <c r="B600" s="178" t="s">
        <v>396</v>
      </c>
      <c r="C600" s="178" t="s">
        <v>90</v>
      </c>
      <c r="D600" s="113" t="s">
        <v>322</v>
      </c>
      <c r="E600" s="112">
        <v>6</v>
      </c>
      <c r="F600" s="107">
        <f>VLOOKUP(H600,'PROJECT SUMMARY'!$C$26:$D$32,2,0)</f>
        <v>0</v>
      </c>
      <c r="G600" s="112">
        <f t="shared" si="509"/>
        <v>6</v>
      </c>
      <c r="H600" s="123" t="s">
        <v>10</v>
      </c>
      <c r="I600" s="110">
        <v>4.25</v>
      </c>
      <c r="J600" s="111">
        <f t="shared" si="505"/>
        <v>25.5</v>
      </c>
      <c r="K600" s="72">
        <v>90</v>
      </c>
      <c r="L600" s="106">
        <f t="shared" si="506"/>
        <v>2295</v>
      </c>
      <c r="M600" s="106">
        <v>418</v>
      </c>
      <c r="N600" s="106">
        <f t="shared" si="507"/>
        <v>2508</v>
      </c>
      <c r="O600" s="106">
        <f t="shared" si="508"/>
        <v>4803</v>
      </c>
      <c r="P600" s="108"/>
    </row>
    <row r="601" spans="1:16" s="81" customFormat="1" x14ac:dyDescent="0.25">
      <c r="A601" s="109" t="str">
        <f>IF(G601&lt;&gt;"",1+MAX($A$13:A600),"")</f>
        <v/>
      </c>
      <c r="B601" s="82"/>
      <c r="C601" s="82"/>
      <c r="D601" s="113"/>
      <c r="E601" s="112"/>
      <c r="F601" s="39"/>
      <c r="G601" s="31"/>
      <c r="H601" s="82"/>
      <c r="I601" s="110"/>
      <c r="J601" s="111"/>
      <c r="K601" s="72"/>
      <c r="L601" s="106"/>
      <c r="M601" s="106"/>
      <c r="N601" s="106"/>
      <c r="O601" s="106"/>
      <c r="P601" s="46"/>
    </row>
    <row r="602" spans="1:16" s="81" customFormat="1" x14ac:dyDescent="0.25">
      <c r="A602" s="109" t="str">
        <f>IF(G602&lt;&gt;"",1+MAX($A$13:A601),"")</f>
        <v/>
      </c>
      <c r="B602" s="82"/>
      <c r="C602" s="82"/>
      <c r="D602" s="58" t="s">
        <v>95</v>
      </c>
      <c r="E602" s="31"/>
      <c r="F602" s="39"/>
      <c r="G602" s="31"/>
      <c r="H602" s="82"/>
      <c r="I602" s="110"/>
      <c r="J602" s="111"/>
      <c r="K602" s="72"/>
      <c r="L602" s="106"/>
      <c r="M602" s="106"/>
      <c r="N602" s="106"/>
      <c r="O602" s="106"/>
      <c r="P602" s="46"/>
    </row>
    <row r="603" spans="1:16" s="140" customFormat="1" x14ac:dyDescent="0.25">
      <c r="A603" s="109">
        <f>IF(G603&lt;&gt;"",1+MAX($A$13:A602),"")</f>
        <v>383</v>
      </c>
      <c r="B603" s="178" t="s">
        <v>381</v>
      </c>
      <c r="C603" s="178" t="s">
        <v>90</v>
      </c>
      <c r="D603" s="113" t="s">
        <v>203</v>
      </c>
      <c r="E603" s="112">
        <v>10</v>
      </c>
      <c r="F603" s="107">
        <f>VLOOKUP(H603,'PROJECT SUMMARY'!$C$26:$D$32,2,0)</f>
        <v>0</v>
      </c>
      <c r="G603" s="112">
        <f>E603*(1+F603)</f>
        <v>10</v>
      </c>
      <c r="H603" s="178" t="s">
        <v>10</v>
      </c>
      <c r="I603" s="110">
        <v>2.1</v>
      </c>
      <c r="J603" s="111">
        <f>I603*G603</f>
        <v>21</v>
      </c>
      <c r="K603" s="72">
        <v>90</v>
      </c>
      <c r="L603" s="106">
        <f>K603*J603</f>
        <v>1890</v>
      </c>
      <c r="M603" s="106">
        <v>293.92</v>
      </c>
      <c r="N603" s="106">
        <f>M603*G603</f>
        <v>2939.2000000000003</v>
      </c>
      <c r="O603" s="106">
        <f>L603+N603</f>
        <v>4829.2000000000007</v>
      </c>
      <c r="P603" s="108"/>
    </row>
    <row r="604" spans="1:16" s="140" customFormat="1" x14ac:dyDescent="0.25">
      <c r="A604" s="109">
        <f>IF(G604&lt;&gt;"",1+MAX($A$13:A603),"")</f>
        <v>384</v>
      </c>
      <c r="B604" s="178" t="s">
        <v>381</v>
      </c>
      <c r="C604" s="178" t="s">
        <v>90</v>
      </c>
      <c r="D604" s="113" t="s">
        <v>204</v>
      </c>
      <c r="E604" s="112">
        <v>6</v>
      </c>
      <c r="F604" s="107">
        <f>VLOOKUP(H604,'PROJECT SUMMARY'!$C$26:$D$32,2,0)</f>
        <v>0</v>
      </c>
      <c r="G604" s="112">
        <f>E604*(1+F604)</f>
        <v>6</v>
      </c>
      <c r="H604" s="178" t="s">
        <v>10</v>
      </c>
      <c r="I604" s="110">
        <v>2.0299999999999998</v>
      </c>
      <c r="J604" s="111">
        <f>I604*G604</f>
        <v>12.18</v>
      </c>
      <c r="K604" s="72">
        <v>90</v>
      </c>
      <c r="L604" s="106">
        <f>K604*J604</f>
        <v>1096.2</v>
      </c>
      <c r="M604" s="106">
        <v>212</v>
      </c>
      <c r="N604" s="106">
        <f>M604*G604</f>
        <v>1272</v>
      </c>
      <c r="O604" s="106">
        <f>L604+N604</f>
        <v>2368.1999999999998</v>
      </c>
      <c r="P604" s="108"/>
    </row>
    <row r="605" spans="1:16" s="81" customFormat="1" ht="16.5" thickBot="1" x14ac:dyDescent="0.3">
      <c r="A605" s="109" t="str">
        <f>IF(G605&lt;&gt;"",1+MAX($A$13:A604),"")</f>
        <v/>
      </c>
      <c r="B605" s="82"/>
      <c r="C605" s="82"/>
      <c r="D605"/>
      <c r="E605"/>
      <c r="F605" s="39"/>
      <c r="G605" s="31"/>
      <c r="H605" s="82"/>
      <c r="I605" s="110"/>
      <c r="J605" s="111"/>
      <c r="K605" s="72"/>
      <c r="L605" s="106"/>
      <c r="M605" s="106"/>
      <c r="N605" s="106"/>
      <c r="O605" s="106"/>
      <c r="P605" s="46"/>
    </row>
    <row r="606" spans="1:16" s="81" customFormat="1" ht="16.5" thickBot="1" x14ac:dyDescent="0.3">
      <c r="A606" s="89" t="str">
        <f>IF(G606&lt;&gt;"",1+MAX($A$13:A605),"")</f>
        <v/>
      </c>
      <c r="B606" s="85"/>
      <c r="C606" s="85" t="s">
        <v>93</v>
      </c>
      <c r="D606" s="83" t="s">
        <v>94</v>
      </c>
      <c r="E606" s="87"/>
      <c r="F606" s="88"/>
      <c r="G606" s="87"/>
      <c r="H606" s="87"/>
      <c r="I606" s="83"/>
      <c r="J606" s="83"/>
      <c r="K606" s="84"/>
      <c r="L606" s="84"/>
      <c r="M606" s="84"/>
      <c r="N606" s="84"/>
      <c r="O606" s="86"/>
      <c r="P606" s="90">
        <f>SUM(O607:O608)</f>
        <v>43200</v>
      </c>
    </row>
    <row r="607" spans="1:16" s="81" customFormat="1" x14ac:dyDescent="0.25">
      <c r="A607" s="109" t="str">
        <f>IF(G607&lt;&gt;"",1+MAX($A$13:A606),"")</f>
        <v/>
      </c>
      <c r="B607" s="82"/>
      <c r="C607" s="82"/>
      <c r="D607"/>
      <c r="E607"/>
      <c r="F607" s="39"/>
      <c r="G607" s="31"/>
      <c r="H607" s="82"/>
      <c r="I607" s="110"/>
      <c r="J607" s="111"/>
      <c r="K607" s="72"/>
      <c r="L607" s="106"/>
      <c r="M607" s="106"/>
      <c r="N607" s="106"/>
      <c r="O607" s="106"/>
      <c r="P607" s="46"/>
    </row>
    <row r="608" spans="1:16" s="81" customFormat="1" x14ac:dyDescent="0.25">
      <c r="A608" s="109">
        <f>IF(G608&lt;&gt;"",1+MAX($A$13:A607),"")</f>
        <v>385</v>
      </c>
      <c r="B608" s="178" t="s">
        <v>381</v>
      </c>
      <c r="C608" s="82" t="s">
        <v>93</v>
      </c>
      <c r="D608" s="113" t="s">
        <v>155</v>
      </c>
      <c r="E608" s="112">
        <v>1</v>
      </c>
      <c r="F608" s="39">
        <f>VLOOKUP(H608,'PROJECT SUMMARY'!$C$26:$D$32,2,0)</f>
        <v>0</v>
      </c>
      <c r="G608" s="31">
        <f t="shared" si="496"/>
        <v>1</v>
      </c>
      <c r="H608" s="82" t="s">
        <v>13</v>
      </c>
      <c r="I608" s="110">
        <v>302.39999999999998</v>
      </c>
      <c r="J608" s="111">
        <f t="shared" ref="J608" si="510">I608*G608</f>
        <v>302.39999999999998</v>
      </c>
      <c r="K608" s="72">
        <v>100</v>
      </c>
      <c r="L608" s="106">
        <f t="shared" ref="L608" si="511">K608*J608</f>
        <v>30239.999999999996</v>
      </c>
      <c r="M608" s="106">
        <v>12960</v>
      </c>
      <c r="N608" s="106">
        <f t="shared" si="499"/>
        <v>12960</v>
      </c>
      <c r="O608" s="106">
        <f t="shared" si="500"/>
        <v>43200</v>
      </c>
      <c r="P608" s="46"/>
    </row>
    <row r="609" spans="1:16" s="81" customFormat="1" ht="16.5" thickBot="1" x14ac:dyDescent="0.3">
      <c r="A609" s="109" t="str">
        <f>IF(G609&lt;&gt;"",1+MAX($A$13:A608),"")</f>
        <v/>
      </c>
      <c r="B609" s="82"/>
      <c r="C609" s="82"/>
      <c r="E609" s="31"/>
      <c r="F609" s="39"/>
      <c r="G609" s="31"/>
      <c r="H609" s="82"/>
      <c r="I609" s="177"/>
      <c r="J609" s="177"/>
      <c r="K609" s="106"/>
      <c r="L609" s="106"/>
      <c r="M609" s="106"/>
      <c r="N609" s="106"/>
      <c r="O609" s="106"/>
      <c r="P609" s="46"/>
    </row>
    <row r="610" spans="1:16" s="81" customFormat="1" ht="16.5" thickBot="1" x14ac:dyDescent="0.3">
      <c r="A610" s="89" t="str">
        <f>IF(G610&lt;&gt;"",1+MAX($A$13:A609),"")</f>
        <v/>
      </c>
      <c r="B610" s="85"/>
      <c r="C610" s="85" t="s">
        <v>80</v>
      </c>
      <c r="D610" s="83" t="s">
        <v>81</v>
      </c>
      <c r="E610" s="87"/>
      <c r="F610" s="88"/>
      <c r="G610" s="87"/>
      <c r="H610" s="87"/>
      <c r="I610" s="83"/>
      <c r="J610" s="83"/>
      <c r="K610" s="84"/>
      <c r="L610" s="84"/>
      <c r="M610" s="84"/>
      <c r="N610" s="84"/>
      <c r="O610" s="86"/>
      <c r="P610" s="90">
        <f>SUM(O611:O636)</f>
        <v>75539.730250000008</v>
      </c>
    </row>
    <row r="611" spans="1:16" s="81" customFormat="1" x14ac:dyDescent="0.25">
      <c r="A611" s="109" t="str">
        <f>IF(G611&lt;&gt;"",1+MAX($A$13:A610),"")</f>
        <v/>
      </c>
      <c r="B611" s="82"/>
      <c r="C611" s="82"/>
      <c r="E611" s="31"/>
      <c r="F611" s="39"/>
      <c r="G611" s="31"/>
      <c r="H611" s="82"/>
      <c r="I611" s="177"/>
      <c r="J611" s="177"/>
      <c r="K611" s="106"/>
      <c r="L611" s="106"/>
      <c r="M611" s="106"/>
      <c r="N611" s="106"/>
      <c r="O611" s="106"/>
      <c r="P611" s="46"/>
    </row>
    <row r="612" spans="1:16" s="81" customFormat="1" x14ac:dyDescent="0.25">
      <c r="A612" s="109" t="str">
        <f>IF(G612&lt;&gt;"",1+MAX($A$13:A611),"")</f>
        <v/>
      </c>
      <c r="B612" s="82"/>
      <c r="C612" s="82"/>
      <c r="D612" s="58" t="s">
        <v>82</v>
      </c>
      <c r="E612" s="31"/>
      <c r="F612" s="39"/>
      <c r="G612" s="31"/>
      <c r="H612" s="82"/>
      <c r="I612" s="177"/>
      <c r="J612" s="177"/>
      <c r="K612" s="106"/>
      <c r="L612" s="106"/>
      <c r="M612" s="106"/>
      <c r="N612" s="106"/>
      <c r="O612" s="106"/>
      <c r="P612" s="46"/>
    </row>
    <row r="613" spans="1:16" s="81" customFormat="1" x14ac:dyDescent="0.25">
      <c r="A613" s="109">
        <f>IF(G613&lt;&gt;"",1+MAX($A$13:A612),"")</f>
        <v>386</v>
      </c>
      <c r="B613" s="82" t="s">
        <v>393</v>
      </c>
      <c r="C613" s="82" t="s">
        <v>80</v>
      </c>
      <c r="D613" s="113" t="s">
        <v>139</v>
      </c>
      <c r="E613" s="112">
        <v>49</v>
      </c>
      <c r="F613" s="39">
        <f>VLOOKUP(H613,'PROJECT SUMMARY'!$C$26:$D$32,2,0)</f>
        <v>0</v>
      </c>
      <c r="G613" s="31">
        <f>E613*(1+F613)</f>
        <v>49</v>
      </c>
      <c r="H613" s="82" t="s">
        <v>10</v>
      </c>
      <c r="I613" s="110">
        <v>1.2979999999999998</v>
      </c>
      <c r="J613" s="111">
        <f>I613*G613</f>
        <v>63.60199999999999</v>
      </c>
      <c r="K613" s="72">
        <v>100</v>
      </c>
      <c r="L613" s="106">
        <f>K613*J613</f>
        <v>6360.1999999999989</v>
      </c>
      <c r="M613" s="106">
        <v>118</v>
      </c>
      <c r="N613" s="106">
        <f>M613*G613</f>
        <v>5782</v>
      </c>
      <c r="O613" s="106">
        <f>L613+N613</f>
        <v>12142.199999999999</v>
      </c>
      <c r="P613" s="46"/>
    </row>
    <row r="614" spans="1:16" s="81" customFormat="1" x14ac:dyDescent="0.25">
      <c r="A614" s="109">
        <f>IF(G614&lt;&gt;"",1+MAX($A$13:A613),"")</f>
        <v>387</v>
      </c>
      <c r="B614" s="178" t="s">
        <v>393</v>
      </c>
      <c r="C614" s="82" t="s">
        <v>80</v>
      </c>
      <c r="D614" s="113" t="s">
        <v>140</v>
      </c>
      <c r="E614" s="112">
        <v>86</v>
      </c>
      <c r="F614" s="39">
        <f>VLOOKUP(H614,'PROJECT SUMMARY'!$C$26:$D$32,2,0)</f>
        <v>0</v>
      </c>
      <c r="G614" s="31">
        <f t="shared" ref="G614:G623" si="512">E614*(1+F614)</f>
        <v>86</v>
      </c>
      <c r="H614" s="82" t="s">
        <v>10</v>
      </c>
      <c r="I614" s="110">
        <v>0.57683999999999991</v>
      </c>
      <c r="J614" s="111">
        <f t="shared" ref="J614:J623" si="513">I614*G614</f>
        <v>49.608239999999995</v>
      </c>
      <c r="K614" s="72">
        <v>100</v>
      </c>
      <c r="L614" s="106">
        <f t="shared" ref="L614:L623" si="514">K614*J614</f>
        <v>4960.8239999999996</v>
      </c>
      <c r="M614" s="106">
        <v>52.44</v>
      </c>
      <c r="N614" s="106">
        <f t="shared" ref="N614:N623" si="515">M614*G614</f>
        <v>4509.84</v>
      </c>
      <c r="O614" s="106">
        <f t="shared" ref="O614:O623" si="516">L614+N614</f>
        <v>9470.6640000000007</v>
      </c>
      <c r="P614" s="46"/>
    </row>
    <row r="615" spans="1:16" s="81" customFormat="1" x14ac:dyDescent="0.25">
      <c r="A615" s="109">
        <f>IF(G615&lt;&gt;"",1+MAX($A$13:A614),"")</f>
        <v>388</v>
      </c>
      <c r="B615" s="178" t="s">
        <v>393</v>
      </c>
      <c r="C615" s="82" t="s">
        <v>80</v>
      </c>
      <c r="D615" s="113" t="s">
        <v>141</v>
      </c>
      <c r="E615" s="112">
        <v>45</v>
      </c>
      <c r="F615" s="39">
        <f>VLOOKUP(H615,'PROJECT SUMMARY'!$C$26:$D$32,2,0)</f>
        <v>0</v>
      </c>
      <c r="G615" s="31">
        <f t="shared" si="512"/>
        <v>45</v>
      </c>
      <c r="H615" s="82" t="s">
        <v>10</v>
      </c>
      <c r="I615" s="110">
        <v>0.35529999999999995</v>
      </c>
      <c r="J615" s="111">
        <f t="shared" si="513"/>
        <v>15.988499999999998</v>
      </c>
      <c r="K615" s="72">
        <v>100</v>
      </c>
      <c r="L615" s="106">
        <f t="shared" si="514"/>
        <v>1598.85</v>
      </c>
      <c r="M615" s="106">
        <v>32.299999999999997</v>
      </c>
      <c r="N615" s="106">
        <f t="shared" si="515"/>
        <v>1453.4999999999998</v>
      </c>
      <c r="O615" s="106">
        <f t="shared" si="516"/>
        <v>3052.3499999999995</v>
      </c>
      <c r="P615" s="46"/>
    </row>
    <row r="616" spans="1:16" s="81" customFormat="1" x14ac:dyDescent="0.25">
      <c r="A616" s="109">
        <f>IF(G616&lt;&gt;"",1+MAX($A$13:A615),"")</f>
        <v>389</v>
      </c>
      <c r="B616" s="178" t="s">
        <v>393</v>
      </c>
      <c r="C616" s="82" t="s">
        <v>80</v>
      </c>
      <c r="D616" s="113" t="s">
        <v>142</v>
      </c>
      <c r="E616" s="112">
        <v>1</v>
      </c>
      <c r="F616" s="39">
        <f>VLOOKUP(H616,'PROJECT SUMMARY'!$C$26:$D$32,2,0)</f>
        <v>0</v>
      </c>
      <c r="G616" s="31">
        <f t="shared" si="512"/>
        <v>1</v>
      </c>
      <c r="H616" s="82" t="s">
        <v>10</v>
      </c>
      <c r="I616" s="110">
        <v>0.63800000000000001</v>
      </c>
      <c r="J616" s="111">
        <f t="shared" si="513"/>
        <v>0.63800000000000001</v>
      </c>
      <c r="K616" s="72">
        <v>100</v>
      </c>
      <c r="L616" s="106">
        <f t="shared" si="514"/>
        <v>63.800000000000004</v>
      </c>
      <c r="M616" s="106">
        <v>58</v>
      </c>
      <c r="N616" s="106">
        <f t="shared" si="515"/>
        <v>58</v>
      </c>
      <c r="O616" s="106">
        <f t="shared" si="516"/>
        <v>121.80000000000001</v>
      </c>
      <c r="P616" s="46"/>
    </row>
    <row r="617" spans="1:16" s="81" customFormat="1" x14ac:dyDescent="0.25">
      <c r="A617" s="109">
        <f>IF(G617&lt;&gt;"",1+MAX($A$13:A616),"")</f>
        <v>390</v>
      </c>
      <c r="B617" s="178" t="s">
        <v>393</v>
      </c>
      <c r="C617" s="82" t="s">
        <v>80</v>
      </c>
      <c r="D617" s="113" t="s">
        <v>143</v>
      </c>
      <c r="E617" s="112">
        <v>4</v>
      </c>
      <c r="F617" s="39">
        <f>VLOOKUP(H617,'PROJECT SUMMARY'!$C$26:$D$32,2,0)</f>
        <v>0</v>
      </c>
      <c r="G617" s="31">
        <f t="shared" si="512"/>
        <v>4</v>
      </c>
      <c r="H617" s="82" t="s">
        <v>10</v>
      </c>
      <c r="I617" s="110">
        <v>1.452</v>
      </c>
      <c r="J617" s="111">
        <f t="shared" si="513"/>
        <v>5.8079999999999998</v>
      </c>
      <c r="K617" s="72">
        <v>100</v>
      </c>
      <c r="L617" s="106">
        <f t="shared" si="514"/>
        <v>580.79999999999995</v>
      </c>
      <c r="M617" s="106">
        <v>132</v>
      </c>
      <c r="N617" s="106">
        <f t="shared" si="515"/>
        <v>528</v>
      </c>
      <c r="O617" s="106">
        <f t="shared" si="516"/>
        <v>1108.8</v>
      </c>
      <c r="P617" s="46"/>
    </row>
    <row r="618" spans="1:16" s="81" customFormat="1" x14ac:dyDescent="0.25">
      <c r="A618" s="109">
        <f>IF(G618&lt;&gt;"",1+MAX($A$13:A617),"")</f>
        <v>391</v>
      </c>
      <c r="B618" s="178" t="s">
        <v>393</v>
      </c>
      <c r="C618" s="82" t="s">
        <v>80</v>
      </c>
      <c r="D618" s="113" t="s">
        <v>144</v>
      </c>
      <c r="E618" s="112">
        <v>8</v>
      </c>
      <c r="F618" s="39">
        <f>VLOOKUP(H618,'PROJECT SUMMARY'!$C$26:$D$32,2,0)</f>
        <v>0</v>
      </c>
      <c r="G618" s="31">
        <f t="shared" si="512"/>
        <v>8</v>
      </c>
      <c r="H618" s="82" t="s">
        <v>10</v>
      </c>
      <c r="I618" s="110">
        <v>1.1219999999999999</v>
      </c>
      <c r="J618" s="111">
        <f t="shared" si="513"/>
        <v>8.9759999999999991</v>
      </c>
      <c r="K618" s="72">
        <v>100</v>
      </c>
      <c r="L618" s="106">
        <f t="shared" si="514"/>
        <v>897.59999999999991</v>
      </c>
      <c r="M618" s="106">
        <v>102</v>
      </c>
      <c r="N618" s="106">
        <f t="shared" si="515"/>
        <v>816</v>
      </c>
      <c r="O618" s="106">
        <f t="shared" si="516"/>
        <v>1713.6</v>
      </c>
      <c r="P618" s="46"/>
    </row>
    <row r="619" spans="1:16" s="81" customFormat="1" x14ac:dyDescent="0.25">
      <c r="A619" s="109">
        <f>IF(G619&lt;&gt;"",1+MAX($A$13:A618),"")</f>
        <v>392</v>
      </c>
      <c r="B619" s="178" t="s">
        <v>393</v>
      </c>
      <c r="C619" s="82" t="s">
        <v>80</v>
      </c>
      <c r="D619" s="113" t="s">
        <v>145</v>
      </c>
      <c r="E619" s="112">
        <v>10</v>
      </c>
      <c r="F619" s="39">
        <f>VLOOKUP(H619,'PROJECT SUMMARY'!$C$26:$D$32,2,0)</f>
        <v>0</v>
      </c>
      <c r="G619" s="31">
        <f t="shared" si="512"/>
        <v>10</v>
      </c>
      <c r="H619" s="82" t="s">
        <v>10</v>
      </c>
      <c r="I619" s="110">
        <v>1.4579399999999998</v>
      </c>
      <c r="J619" s="111">
        <f t="shared" si="513"/>
        <v>14.579399999999998</v>
      </c>
      <c r="K619" s="72">
        <v>100</v>
      </c>
      <c r="L619" s="106">
        <f t="shared" si="514"/>
        <v>1457.9399999999998</v>
      </c>
      <c r="M619" s="106">
        <v>132.54</v>
      </c>
      <c r="N619" s="106">
        <f t="shared" si="515"/>
        <v>1325.3999999999999</v>
      </c>
      <c r="O619" s="106">
        <f t="shared" si="516"/>
        <v>2783.3399999999997</v>
      </c>
      <c r="P619" s="46"/>
    </row>
    <row r="620" spans="1:16" s="81" customFormat="1" x14ac:dyDescent="0.25">
      <c r="A620" s="109">
        <f>IF(G620&lt;&gt;"",1+MAX($A$13:A619),"")</f>
        <v>393</v>
      </c>
      <c r="B620" s="178" t="s">
        <v>393</v>
      </c>
      <c r="C620" s="82" t="s">
        <v>80</v>
      </c>
      <c r="D620" s="113" t="s">
        <v>146</v>
      </c>
      <c r="E620" s="112">
        <v>6</v>
      </c>
      <c r="F620" s="39">
        <f>VLOOKUP(H620,'PROJECT SUMMARY'!$C$26:$D$32,2,0)</f>
        <v>0</v>
      </c>
      <c r="G620" s="31">
        <f t="shared" si="512"/>
        <v>6</v>
      </c>
      <c r="H620" s="82" t="s">
        <v>10</v>
      </c>
      <c r="I620" s="110">
        <v>1.0494000000000001</v>
      </c>
      <c r="J620" s="111">
        <f t="shared" si="513"/>
        <v>6.2964000000000002</v>
      </c>
      <c r="K620" s="72">
        <v>100</v>
      </c>
      <c r="L620" s="106">
        <f t="shared" si="514"/>
        <v>629.64</v>
      </c>
      <c r="M620" s="106">
        <v>95.4</v>
      </c>
      <c r="N620" s="106">
        <f t="shared" si="515"/>
        <v>572.40000000000009</v>
      </c>
      <c r="O620" s="106">
        <f t="shared" si="516"/>
        <v>1202.04</v>
      </c>
      <c r="P620" s="46"/>
    </row>
    <row r="621" spans="1:16" s="81" customFormat="1" x14ac:dyDescent="0.25">
      <c r="A621" s="109">
        <f>IF(G621&lt;&gt;"",1+MAX($A$13:A620),"")</f>
        <v>394</v>
      </c>
      <c r="B621" s="178" t="s">
        <v>393</v>
      </c>
      <c r="C621" s="82" t="s">
        <v>80</v>
      </c>
      <c r="D621" s="113" t="s">
        <v>147</v>
      </c>
      <c r="E621" s="112">
        <v>9</v>
      </c>
      <c r="F621" s="39">
        <f>VLOOKUP(H621,'PROJECT SUMMARY'!$C$26:$D$32,2,0)</f>
        <v>0</v>
      </c>
      <c r="G621" s="31">
        <f t="shared" si="512"/>
        <v>9</v>
      </c>
      <c r="H621" s="82" t="s">
        <v>10</v>
      </c>
      <c r="I621" s="110">
        <v>1.8039999999999998</v>
      </c>
      <c r="J621" s="111">
        <f t="shared" si="513"/>
        <v>16.235999999999997</v>
      </c>
      <c r="K621" s="72">
        <v>100</v>
      </c>
      <c r="L621" s="106">
        <f t="shared" si="514"/>
        <v>1623.5999999999997</v>
      </c>
      <c r="M621" s="106">
        <v>164</v>
      </c>
      <c r="N621" s="106">
        <f t="shared" si="515"/>
        <v>1476</v>
      </c>
      <c r="O621" s="106">
        <f t="shared" si="516"/>
        <v>3099.5999999999995</v>
      </c>
      <c r="P621" s="46"/>
    </row>
    <row r="622" spans="1:16" s="81" customFormat="1" x14ac:dyDescent="0.25">
      <c r="A622" s="109" t="str">
        <f>IF(G622&lt;&gt;"",1+MAX($A$13:A621),"")</f>
        <v/>
      </c>
      <c r="B622" s="82"/>
      <c r="C622" s="82"/>
      <c r="D622" s="113"/>
      <c r="E622" s="112"/>
      <c r="F622" s="39"/>
      <c r="G622" s="31"/>
      <c r="H622" s="82"/>
      <c r="I622" s="110"/>
      <c r="J622" s="111"/>
      <c r="K622" s="72"/>
      <c r="L622" s="106"/>
      <c r="M622" s="106"/>
      <c r="N622" s="106"/>
      <c r="O622" s="106"/>
      <c r="P622" s="46"/>
    </row>
    <row r="623" spans="1:16" s="81" customFormat="1" x14ac:dyDescent="0.25">
      <c r="A623" s="109">
        <f>IF(G623&lt;&gt;"",1+MAX($A$13:A622),"")</f>
        <v>395</v>
      </c>
      <c r="B623" s="178" t="s">
        <v>393</v>
      </c>
      <c r="C623" s="82" t="s">
        <v>80</v>
      </c>
      <c r="D623" s="113" t="s">
        <v>148</v>
      </c>
      <c r="E623" s="112">
        <v>24.75</v>
      </c>
      <c r="F623" s="39">
        <f>VLOOKUP(H623,'PROJECT SUMMARY'!$C$26:$D$32,2,0)</f>
        <v>0.05</v>
      </c>
      <c r="G623" s="31">
        <f t="shared" si="512"/>
        <v>25.987500000000001</v>
      </c>
      <c r="H623" s="82" t="s">
        <v>11</v>
      </c>
      <c r="I623" s="110">
        <v>0.32500000000000001</v>
      </c>
      <c r="J623" s="111">
        <f t="shared" si="513"/>
        <v>8.4459375000000012</v>
      </c>
      <c r="K623" s="72">
        <v>100</v>
      </c>
      <c r="L623" s="106">
        <f t="shared" si="514"/>
        <v>844.59375000000011</v>
      </c>
      <c r="M623" s="106">
        <v>11</v>
      </c>
      <c r="N623" s="106">
        <f t="shared" si="515"/>
        <v>285.86250000000001</v>
      </c>
      <c r="O623" s="106">
        <f t="shared" si="516"/>
        <v>1130.4562500000002</v>
      </c>
      <c r="P623" s="46"/>
    </row>
    <row r="624" spans="1:16" s="81" customFormat="1" x14ac:dyDescent="0.25">
      <c r="A624" s="109" t="str">
        <f>IF(G624&lt;&gt;"",1+MAX($A$13:A623),"")</f>
        <v/>
      </c>
      <c r="B624" s="82"/>
      <c r="C624" s="82"/>
      <c r="D624" s="113"/>
      <c r="E624" s="112"/>
      <c r="F624" s="39"/>
      <c r="G624" s="31"/>
      <c r="H624" s="82"/>
      <c r="I624" s="110"/>
      <c r="J624" s="177"/>
      <c r="K624" s="106"/>
      <c r="L624" s="106"/>
      <c r="M624" s="106"/>
      <c r="N624" s="106"/>
      <c r="O624" s="106"/>
      <c r="P624" s="46"/>
    </row>
    <row r="625" spans="1:16" s="81" customFormat="1" x14ac:dyDescent="0.25">
      <c r="A625" s="109" t="str">
        <f>IF(G625&lt;&gt;"",1+MAX($A$13:A624),"")</f>
        <v/>
      </c>
      <c r="B625" s="82"/>
      <c r="C625" s="82"/>
      <c r="D625" s="58" t="s">
        <v>151</v>
      </c>
      <c r="E625" s="31"/>
      <c r="F625" s="39"/>
      <c r="G625" s="31"/>
      <c r="H625" s="82"/>
      <c r="I625" s="110"/>
      <c r="J625" s="177"/>
      <c r="K625" s="106"/>
      <c r="L625" s="106"/>
      <c r="M625" s="106"/>
      <c r="N625" s="106"/>
      <c r="O625" s="106"/>
      <c r="P625" s="46"/>
    </row>
    <row r="626" spans="1:16" s="81" customFormat="1" x14ac:dyDescent="0.25">
      <c r="A626" s="109">
        <f>IF(G626&lt;&gt;"",1+MAX($A$13:A625),"")</f>
        <v>396</v>
      </c>
      <c r="B626" s="178" t="s">
        <v>393</v>
      </c>
      <c r="C626" s="82" t="s">
        <v>80</v>
      </c>
      <c r="D626" s="113" t="s">
        <v>149</v>
      </c>
      <c r="E626" s="112">
        <v>8</v>
      </c>
      <c r="F626" s="39">
        <f>VLOOKUP(H626,'PROJECT SUMMARY'!$C$26:$D$32,2,0)</f>
        <v>0</v>
      </c>
      <c r="G626" s="31">
        <f>E626*(1+F626)</f>
        <v>8</v>
      </c>
      <c r="H626" s="82" t="s">
        <v>10</v>
      </c>
      <c r="I626" s="110">
        <v>0.85</v>
      </c>
      <c r="J626" s="111">
        <f t="shared" ref="J626:J627" si="517">I626*G626</f>
        <v>6.8</v>
      </c>
      <c r="K626" s="72">
        <v>100</v>
      </c>
      <c r="L626" s="106">
        <f t="shared" ref="L626:L627" si="518">K626*J626</f>
        <v>680</v>
      </c>
      <c r="M626" s="106">
        <v>22</v>
      </c>
      <c r="N626" s="106">
        <f>M626*G626</f>
        <v>176</v>
      </c>
      <c r="O626" s="106">
        <f>L626+N626</f>
        <v>856</v>
      </c>
      <c r="P626" s="46"/>
    </row>
    <row r="627" spans="1:16" s="81" customFormat="1" x14ac:dyDescent="0.25">
      <c r="A627" s="109">
        <f>IF(G627&lt;&gt;"",1+MAX($A$13:A626),"")</f>
        <v>397</v>
      </c>
      <c r="B627" s="178" t="s">
        <v>393</v>
      </c>
      <c r="C627" s="82" t="s">
        <v>80</v>
      </c>
      <c r="D627" s="113" t="s">
        <v>150</v>
      </c>
      <c r="E627" s="112">
        <v>35</v>
      </c>
      <c r="F627" s="39">
        <f>VLOOKUP(H627,'PROJECT SUMMARY'!$C$26:$D$32,2,0)</f>
        <v>0</v>
      </c>
      <c r="G627" s="31">
        <f t="shared" ref="G627:G636" si="519">E627*(1+F627)</f>
        <v>35</v>
      </c>
      <c r="H627" s="82" t="s">
        <v>10</v>
      </c>
      <c r="I627" s="110">
        <v>0.74</v>
      </c>
      <c r="J627" s="111">
        <f t="shared" si="517"/>
        <v>25.9</v>
      </c>
      <c r="K627" s="72">
        <v>100</v>
      </c>
      <c r="L627" s="106">
        <f t="shared" si="518"/>
        <v>2590</v>
      </c>
      <c r="M627" s="106">
        <v>18.5</v>
      </c>
      <c r="N627" s="106">
        <f t="shared" ref="N627:N636" si="520">M627*G627</f>
        <v>647.5</v>
      </c>
      <c r="O627" s="106">
        <f t="shared" ref="O627:O636" si="521">L627+N627</f>
        <v>3237.5</v>
      </c>
      <c r="P627" s="46"/>
    </row>
    <row r="628" spans="1:16" s="81" customFormat="1" x14ac:dyDescent="0.25">
      <c r="A628" s="109" t="str">
        <f>IF(G628&lt;&gt;"",1+MAX($A$13:A627),"")</f>
        <v/>
      </c>
      <c r="B628" s="82"/>
      <c r="C628" s="82"/>
      <c r="D628" s="59"/>
      <c r="E628" s="31"/>
      <c r="F628" s="39"/>
      <c r="G628" s="31"/>
      <c r="H628" s="82"/>
      <c r="I628" s="110"/>
      <c r="J628" s="111"/>
      <c r="K628" s="72"/>
      <c r="L628" s="106"/>
      <c r="M628" s="106"/>
      <c r="N628" s="106"/>
      <c r="O628" s="106"/>
      <c r="P628" s="46"/>
    </row>
    <row r="629" spans="1:16" s="81" customFormat="1" x14ac:dyDescent="0.25">
      <c r="A629" s="109" t="str">
        <f>IF(G629&lt;&gt;"",1+MAX($A$13:A628),"")</f>
        <v/>
      </c>
      <c r="B629" s="82"/>
      <c r="C629" s="82"/>
      <c r="D629" s="58" t="s">
        <v>152</v>
      </c>
      <c r="E629" s="31"/>
      <c r="F629" s="39"/>
      <c r="G629" s="31"/>
      <c r="H629" s="82"/>
      <c r="I629" s="110"/>
      <c r="J629" s="111"/>
      <c r="K629" s="72"/>
      <c r="L629" s="106"/>
      <c r="M629" s="106"/>
      <c r="N629" s="106"/>
      <c r="O629" s="106"/>
      <c r="P629" s="46"/>
    </row>
    <row r="630" spans="1:16" s="81" customFormat="1" x14ac:dyDescent="0.25">
      <c r="A630" s="109">
        <f>IF(G630&lt;&gt;"",1+MAX($A$13:A629),"")</f>
        <v>398</v>
      </c>
      <c r="B630" s="178" t="s">
        <v>393</v>
      </c>
      <c r="C630" s="82" t="s">
        <v>80</v>
      </c>
      <c r="D630" s="113" t="s">
        <v>153</v>
      </c>
      <c r="E630" s="112">
        <v>50</v>
      </c>
      <c r="F630" s="39">
        <f>VLOOKUP(H630,'PROJECT SUMMARY'!$C$26:$D$32,2,0)</f>
        <v>0</v>
      </c>
      <c r="G630" s="31">
        <f t="shared" si="519"/>
        <v>50</v>
      </c>
      <c r="H630" s="82" t="s">
        <v>10</v>
      </c>
      <c r="I630" s="110">
        <v>0.7</v>
      </c>
      <c r="J630" s="111">
        <f t="shared" ref="J630" si="522">I630*G630</f>
        <v>35</v>
      </c>
      <c r="K630" s="72">
        <v>100</v>
      </c>
      <c r="L630" s="106">
        <f t="shared" ref="L630" si="523">K630*J630</f>
        <v>3500</v>
      </c>
      <c r="M630" s="106">
        <v>13.22</v>
      </c>
      <c r="N630" s="106">
        <f t="shared" si="520"/>
        <v>661</v>
      </c>
      <c r="O630" s="106">
        <f t="shared" si="521"/>
        <v>4161</v>
      </c>
      <c r="P630" s="46"/>
    </row>
    <row r="631" spans="1:16" s="81" customFormat="1" x14ac:dyDescent="0.25">
      <c r="A631" s="109" t="str">
        <f>IF(G631&lt;&gt;"",1+MAX($A$13:A630),"")</f>
        <v/>
      </c>
      <c r="B631" s="82"/>
      <c r="C631" s="82"/>
      <c r="D631" s="59"/>
      <c r="E631" s="31"/>
      <c r="F631" s="39"/>
      <c r="G631" s="31"/>
      <c r="H631" s="82"/>
      <c r="I631" s="110"/>
      <c r="J631" s="111"/>
      <c r="K631" s="72"/>
      <c r="L631" s="106"/>
      <c r="M631" s="106"/>
      <c r="N631" s="106"/>
      <c r="O631" s="106"/>
      <c r="P631" s="46"/>
    </row>
    <row r="632" spans="1:16" s="81" customFormat="1" x14ac:dyDescent="0.25">
      <c r="A632" s="109" t="str">
        <f>IF(G632&lt;&gt;"",1+MAX($A$13:A631),"")</f>
        <v/>
      </c>
      <c r="B632" s="82"/>
      <c r="C632" s="82"/>
      <c r="D632" s="58" t="s">
        <v>398</v>
      </c>
      <c r="E632" s="31"/>
      <c r="F632" s="39"/>
      <c r="G632" s="31"/>
      <c r="H632" s="82"/>
      <c r="I632" s="110"/>
      <c r="J632" s="111"/>
      <c r="K632" s="72"/>
      <c r="L632" s="106"/>
      <c r="M632" s="106"/>
      <c r="N632" s="106"/>
      <c r="O632" s="106"/>
      <c r="P632" s="46"/>
    </row>
    <row r="633" spans="1:16" s="81" customFormat="1" x14ac:dyDescent="0.25">
      <c r="A633" s="109">
        <f>IF(G633&lt;&gt;"",1+MAX($A$13:A632),"")</f>
        <v>399</v>
      </c>
      <c r="B633" s="178" t="s">
        <v>393</v>
      </c>
      <c r="C633" s="82" t="s">
        <v>80</v>
      </c>
      <c r="D633" s="113" t="s">
        <v>154</v>
      </c>
      <c r="E633" s="112">
        <v>1</v>
      </c>
      <c r="F633" s="39">
        <f>VLOOKUP(H633,'PROJECT SUMMARY'!$C$26:$D$32,2,0)</f>
        <v>0</v>
      </c>
      <c r="G633" s="31">
        <f t="shared" si="519"/>
        <v>1</v>
      </c>
      <c r="H633" s="82" t="s">
        <v>10</v>
      </c>
      <c r="I633" s="110">
        <v>3.65</v>
      </c>
      <c r="J633" s="111">
        <f t="shared" ref="J633" si="524">I633*G633</f>
        <v>3.65</v>
      </c>
      <c r="K633" s="72">
        <v>100</v>
      </c>
      <c r="L633" s="106">
        <f t="shared" ref="L633" si="525">K633*J633</f>
        <v>365</v>
      </c>
      <c r="M633" s="106">
        <v>650</v>
      </c>
      <c r="N633" s="106">
        <f t="shared" si="520"/>
        <v>650</v>
      </c>
      <c r="O633" s="106">
        <f t="shared" si="521"/>
        <v>1015</v>
      </c>
      <c r="P633" s="46"/>
    </row>
    <row r="634" spans="1:16" s="81" customFormat="1" x14ac:dyDescent="0.25">
      <c r="A634" s="109" t="str">
        <f>IF(G634&lt;&gt;"",1+MAX($A$13:A633),"")</f>
        <v/>
      </c>
      <c r="B634" s="82"/>
      <c r="C634" s="82"/>
      <c r="D634" s="113"/>
      <c r="E634" s="112"/>
      <c r="F634" s="39"/>
      <c r="G634" s="31"/>
      <c r="H634" s="82"/>
      <c r="I634" s="110"/>
      <c r="J634" s="111"/>
      <c r="K634" s="72"/>
      <c r="L634" s="106"/>
      <c r="M634" s="106"/>
      <c r="N634" s="106"/>
      <c r="O634" s="106"/>
      <c r="P634" s="46"/>
    </row>
    <row r="635" spans="1:16" s="81" customFormat="1" x14ac:dyDescent="0.25">
      <c r="A635" s="109">
        <f>IF(G635&lt;&gt;"",1+MAX($A$13:A634),"")</f>
        <v>400</v>
      </c>
      <c r="B635" s="82"/>
      <c r="C635" s="82" t="s">
        <v>80</v>
      </c>
      <c r="D635" s="113" t="s">
        <v>83</v>
      </c>
      <c r="E635" s="112">
        <f>331*12</f>
        <v>3972</v>
      </c>
      <c r="F635" s="39">
        <f>VLOOKUP(H635,'PROJECT SUMMARY'!$C$26:$D$32,2,0)</f>
        <v>0.05</v>
      </c>
      <c r="G635" s="31">
        <f t="shared" si="519"/>
        <v>4170.6000000000004</v>
      </c>
      <c r="H635" s="82" t="s">
        <v>11</v>
      </c>
      <c r="I635" s="110">
        <v>2.5000000000000001E-2</v>
      </c>
      <c r="J635" s="111">
        <f t="shared" ref="J635:J636" si="526">I635*G635</f>
        <v>104.26500000000001</v>
      </c>
      <c r="K635" s="72">
        <v>100</v>
      </c>
      <c r="L635" s="106">
        <f t="shared" ref="L635:L636" si="527">K635*J635</f>
        <v>10426.500000000002</v>
      </c>
      <c r="M635" s="106">
        <v>1.2</v>
      </c>
      <c r="N635" s="106">
        <f t="shared" si="520"/>
        <v>5004.72</v>
      </c>
      <c r="O635" s="106">
        <f t="shared" si="521"/>
        <v>15431.220000000001</v>
      </c>
      <c r="P635" s="46"/>
    </row>
    <row r="636" spans="1:16" s="81" customFormat="1" x14ac:dyDescent="0.25">
      <c r="A636" s="109">
        <f>IF(G636&lt;&gt;"",1+MAX($A$13:A635),"")</f>
        <v>401</v>
      </c>
      <c r="B636" s="82"/>
      <c r="C636" s="82" t="s">
        <v>80</v>
      </c>
      <c r="D636" s="113" t="s">
        <v>84</v>
      </c>
      <c r="E636" s="112">
        <f>E635*3</f>
        <v>11916</v>
      </c>
      <c r="F636" s="39">
        <f>VLOOKUP(H636,'PROJECT SUMMARY'!$C$26:$D$32,2,0)</f>
        <v>0.05</v>
      </c>
      <c r="G636" s="31">
        <f t="shared" si="519"/>
        <v>12511.800000000001</v>
      </c>
      <c r="H636" s="82" t="s">
        <v>11</v>
      </c>
      <c r="I636" s="110">
        <v>0.01</v>
      </c>
      <c r="J636" s="111">
        <f t="shared" si="526"/>
        <v>125.11800000000001</v>
      </c>
      <c r="K636" s="72">
        <v>100</v>
      </c>
      <c r="L636" s="106">
        <f t="shared" si="527"/>
        <v>12511.800000000001</v>
      </c>
      <c r="M636" s="106">
        <v>0.2</v>
      </c>
      <c r="N636" s="106">
        <f t="shared" si="520"/>
        <v>2502.3600000000006</v>
      </c>
      <c r="O636" s="106">
        <f t="shared" si="521"/>
        <v>15014.160000000002</v>
      </c>
      <c r="P636" s="46"/>
    </row>
    <row r="637" spans="1:16" ht="16.5" thickBot="1" x14ac:dyDescent="0.3">
      <c r="A637" s="109" t="str">
        <f>IF(G637&lt;&gt;"",1+MAX($A$13:A636),"")</f>
        <v/>
      </c>
      <c r="H637" s="82"/>
      <c r="I637" s="110"/>
      <c r="J637" s="177"/>
      <c r="K637" s="106"/>
      <c r="L637" s="106"/>
      <c r="M637" s="106"/>
      <c r="N637" s="106"/>
      <c r="O637" s="106"/>
      <c r="P637" s="46"/>
    </row>
    <row r="638" spans="1:16" s="81" customFormat="1" ht="16.5" thickBot="1" x14ac:dyDescent="0.3">
      <c r="A638" s="89" t="str">
        <f>IF(G638&lt;&gt;"",1+MAX($A$13:A637),"")</f>
        <v/>
      </c>
      <c r="B638" s="85"/>
      <c r="C638" s="85" t="s">
        <v>134</v>
      </c>
      <c r="D638" s="83" t="s">
        <v>133</v>
      </c>
      <c r="E638" s="87"/>
      <c r="F638" s="88"/>
      <c r="G638" s="87"/>
      <c r="H638" s="87"/>
      <c r="I638" s="83"/>
      <c r="J638" s="83"/>
      <c r="K638" s="84"/>
      <c r="L638" s="84"/>
      <c r="M638" s="84"/>
      <c r="N638" s="84"/>
      <c r="O638" s="86"/>
      <c r="P638" s="90">
        <f>SUM(O639:O642)</f>
        <v>11326.7238</v>
      </c>
    </row>
    <row r="639" spans="1:16" x14ac:dyDescent="0.25">
      <c r="A639" s="109" t="str">
        <f>IF(G639&lt;&gt;"",1+MAX($A$13:A638),"")</f>
        <v/>
      </c>
      <c r="H639" s="82"/>
      <c r="I639" s="177"/>
      <c r="J639" s="177"/>
      <c r="K639" s="106"/>
      <c r="L639" s="106"/>
      <c r="M639" s="106"/>
      <c r="N639" s="106"/>
      <c r="O639" s="106"/>
      <c r="P639" s="46"/>
    </row>
    <row r="640" spans="1:16" x14ac:dyDescent="0.25">
      <c r="A640" s="109">
        <f>IF(G640&lt;&gt;"",1+MAX($A$13:A639),"")</f>
        <v>402</v>
      </c>
      <c r="C640" s="16" t="s">
        <v>134</v>
      </c>
      <c r="D640" s="113" t="s">
        <v>330</v>
      </c>
      <c r="E640" s="112">
        <v>142</v>
      </c>
      <c r="F640" s="39">
        <f>VLOOKUP(H640,'PROJECT SUMMARY'!$C$26:$D$32,2,0)</f>
        <v>0.05</v>
      </c>
      <c r="G640" s="31">
        <f>E640*(1+F640)</f>
        <v>149.1</v>
      </c>
      <c r="H640" s="82" t="s">
        <v>16</v>
      </c>
      <c r="I640" s="110">
        <v>0.315</v>
      </c>
      <c r="J640" s="111">
        <f>I640*G640</f>
        <v>46.966499999999996</v>
      </c>
      <c r="K640" s="72">
        <v>146</v>
      </c>
      <c r="L640" s="106">
        <f>K640*J640</f>
        <v>6857.1089999999995</v>
      </c>
      <c r="M640" s="106"/>
      <c r="N640" s="106">
        <f>M640*G640</f>
        <v>0</v>
      </c>
      <c r="O640" s="106">
        <f>L640+N640</f>
        <v>6857.1089999999995</v>
      </c>
      <c r="P640" s="46"/>
    </row>
    <row r="641" spans="1:16" s="81" customFormat="1" x14ac:dyDescent="0.25">
      <c r="A641" s="109">
        <f>IF(G641&lt;&gt;"",1+MAX($A$13:A640),"")</f>
        <v>403</v>
      </c>
      <c r="B641" s="82"/>
      <c r="C641" s="82" t="s">
        <v>134</v>
      </c>
      <c r="D641" s="113" t="s">
        <v>331</v>
      </c>
      <c r="E641" s="112">
        <f>E640-116</f>
        <v>26</v>
      </c>
      <c r="F641" s="39">
        <f>VLOOKUP(H641,'PROJECT SUMMARY'!$C$26:$D$32,2,0)</f>
        <v>0.05</v>
      </c>
      <c r="G641" s="31">
        <f t="shared" ref="G641" si="528">E641*(1+F641)</f>
        <v>27.3</v>
      </c>
      <c r="H641" s="178" t="s">
        <v>16</v>
      </c>
      <c r="I641" s="110">
        <v>0.23799999999999999</v>
      </c>
      <c r="J641" s="111">
        <f t="shared" ref="J641:J642" si="529">I641*G641</f>
        <v>6.4973999999999998</v>
      </c>
      <c r="K641" s="72">
        <v>146</v>
      </c>
      <c r="L641" s="106">
        <f t="shared" ref="L641:L642" si="530">K641*J641</f>
        <v>948.62040000000002</v>
      </c>
      <c r="M641" s="106"/>
      <c r="N641" s="106">
        <f t="shared" ref="N641:N642" si="531">M641*G641</f>
        <v>0</v>
      </c>
      <c r="O641" s="106">
        <f t="shared" ref="O641:O642" si="532">L641+N641</f>
        <v>948.62040000000002</v>
      </c>
      <c r="P641" s="46"/>
    </row>
    <row r="642" spans="1:16" s="81" customFormat="1" x14ac:dyDescent="0.25">
      <c r="A642" s="109">
        <f>IF(G642&lt;&gt;"",1+MAX($A$13:A641),"")</f>
        <v>404</v>
      </c>
      <c r="B642" s="82"/>
      <c r="C642" s="82" t="s">
        <v>134</v>
      </c>
      <c r="D642" s="113" t="s">
        <v>332</v>
      </c>
      <c r="E642" s="112">
        <v>116</v>
      </c>
      <c r="F642" s="39">
        <f>VLOOKUP(H642,'PROJECT SUMMARY'!$C$26:$D$32,2,0)</f>
        <v>0.05</v>
      </c>
      <c r="G642" s="31">
        <f t="shared" ref="G642" si="533">E642*(1+F642)</f>
        <v>121.80000000000001</v>
      </c>
      <c r="H642" s="178" t="s">
        <v>16</v>
      </c>
      <c r="I642" s="110">
        <v>0.19800000000000001</v>
      </c>
      <c r="J642" s="111">
        <f t="shared" si="529"/>
        <v>24.116400000000002</v>
      </c>
      <c r="K642" s="72">
        <v>146</v>
      </c>
      <c r="L642" s="106">
        <f t="shared" si="530"/>
        <v>3520.9944000000005</v>
      </c>
      <c r="M642" s="106"/>
      <c r="N642" s="106">
        <f t="shared" si="531"/>
        <v>0</v>
      </c>
      <c r="O642" s="106">
        <f t="shared" si="532"/>
        <v>3520.9944000000005</v>
      </c>
      <c r="P642" s="46"/>
    </row>
    <row r="643" spans="1:16" s="118" customFormat="1" ht="16.5" thickBot="1" x14ac:dyDescent="0.3">
      <c r="A643" s="109" t="str">
        <f>IF(G643&lt;&gt;"",1+MAX($A$13:A642),"")</f>
        <v/>
      </c>
      <c r="B643" s="119"/>
      <c r="C643" s="119"/>
      <c r="E643" s="112"/>
      <c r="F643" s="107"/>
      <c r="G643" s="112"/>
      <c r="H643" s="119"/>
      <c r="I643" s="110"/>
      <c r="K643" s="106"/>
      <c r="L643" s="106"/>
      <c r="M643" s="106"/>
      <c r="N643" s="106"/>
      <c r="O643" s="106"/>
      <c r="P643" s="108"/>
    </row>
    <row r="644" spans="1:16" s="118" customFormat="1" ht="16.5" thickBot="1" x14ac:dyDescent="0.3">
      <c r="A644" s="89" t="str">
        <f>IF(G644&lt;&gt;"",1+MAX($A$13:A643),"")</f>
        <v/>
      </c>
      <c r="B644" s="85"/>
      <c r="C644" s="85" t="s">
        <v>131</v>
      </c>
      <c r="D644" s="83" t="s">
        <v>132</v>
      </c>
      <c r="E644" s="87"/>
      <c r="F644" s="88"/>
      <c r="G644" s="87"/>
      <c r="H644" s="87"/>
      <c r="I644" s="83"/>
      <c r="J644" s="83"/>
      <c r="K644" s="84"/>
      <c r="L644" s="84"/>
      <c r="M644" s="84"/>
      <c r="N644" s="84"/>
      <c r="O644" s="86"/>
      <c r="P644" s="90">
        <f>SUM(O645:O690)</f>
        <v>81411.266992686724</v>
      </c>
    </row>
    <row r="645" spans="1:16" s="118" customFormat="1" x14ac:dyDescent="0.25">
      <c r="A645" s="109" t="str">
        <f>IF(G645&lt;&gt;"",1+MAX($A$13:A644),"")</f>
        <v/>
      </c>
      <c r="B645" s="119"/>
      <c r="C645" s="119"/>
      <c r="E645" s="112"/>
      <c r="F645" s="107"/>
      <c r="G645" s="112"/>
      <c r="H645" s="119"/>
      <c r="K645" s="106"/>
      <c r="L645" s="106"/>
      <c r="M645" s="106"/>
      <c r="N645" s="106"/>
      <c r="O645" s="106"/>
      <c r="P645" s="108"/>
    </row>
    <row r="646" spans="1:16" s="118" customFormat="1" x14ac:dyDescent="0.25">
      <c r="A646" s="109" t="str">
        <f>IF(G646&lt;&gt;"",1+MAX($A$13:A645),"")</f>
        <v/>
      </c>
      <c r="B646" s="119"/>
      <c r="C646" s="119"/>
      <c r="D646" s="58" t="s">
        <v>404</v>
      </c>
      <c r="E646" s="112"/>
      <c r="F646" s="107"/>
      <c r="G646" s="112"/>
      <c r="H646" s="119"/>
      <c r="J646" s="111"/>
      <c r="K646" s="106"/>
      <c r="L646" s="106"/>
      <c r="M646" s="106"/>
      <c r="N646" s="106"/>
      <c r="O646" s="106"/>
      <c r="P646" s="108"/>
    </row>
    <row r="647" spans="1:16" s="118" customFormat="1" x14ac:dyDescent="0.25">
      <c r="A647" s="109">
        <f>IF(G647&lt;&gt;"",1+MAX($A$13:A646),"")</f>
        <v>405</v>
      </c>
      <c r="B647" s="119" t="s">
        <v>399</v>
      </c>
      <c r="C647" s="119" t="s">
        <v>131</v>
      </c>
      <c r="D647" s="113" t="s">
        <v>219</v>
      </c>
      <c r="E647" s="112">
        <f>96.11*1.5*1/27</f>
        <v>5.3394444444444442</v>
      </c>
      <c r="F647" s="107">
        <f>VLOOKUP(H647,'PROJECT SUMMARY'!$C$26:$D$32,2,0)</f>
        <v>0.05</v>
      </c>
      <c r="G647" s="112">
        <f>E647*(1+F647)</f>
        <v>5.606416666666667</v>
      </c>
      <c r="H647" s="170" t="s">
        <v>16</v>
      </c>
      <c r="I647" s="110">
        <v>3.2</v>
      </c>
      <c r="J647" s="111">
        <f>I647*G647</f>
        <v>17.940533333333335</v>
      </c>
      <c r="K647" s="106">
        <v>52</v>
      </c>
      <c r="L647" s="106">
        <f>K647*J647</f>
        <v>932.90773333333345</v>
      </c>
      <c r="M647" s="106">
        <v>206</v>
      </c>
      <c r="N647" s="106">
        <f>M647*G647</f>
        <v>1154.9218333333333</v>
      </c>
      <c r="O647" s="106">
        <f>L647+N647</f>
        <v>2087.8295666666668</v>
      </c>
      <c r="P647" s="108"/>
    </row>
    <row r="648" spans="1:16" s="163" customFormat="1" x14ac:dyDescent="0.25">
      <c r="A648" s="109">
        <f>IF(G648&lt;&gt;"",1+MAX($A$13:A647),"")</f>
        <v>406</v>
      </c>
      <c r="B648" s="178" t="s">
        <v>399</v>
      </c>
      <c r="C648" s="164" t="s">
        <v>131</v>
      </c>
      <c r="D648" s="113" t="s">
        <v>217</v>
      </c>
      <c r="E648" s="112">
        <f>96.11*2*1.043</f>
        <v>200.48545999999999</v>
      </c>
      <c r="F648" s="107">
        <f>VLOOKUP(H648,'PROJECT SUMMARY'!$C$26:$D$32,2,0)</f>
        <v>0.05</v>
      </c>
      <c r="G648" s="112">
        <f t="shared" ref="G648:G665" si="534">E648*(1+F648)</f>
        <v>210.50973300000001</v>
      </c>
      <c r="H648" s="164" t="s">
        <v>14</v>
      </c>
      <c r="I648" s="110">
        <v>1.4999999999999999E-2</v>
      </c>
      <c r="J648" s="111">
        <f t="shared" ref="J648" si="535">I648*G648</f>
        <v>3.1576459950000002</v>
      </c>
      <c r="K648" s="106">
        <v>52</v>
      </c>
      <c r="L648" s="106">
        <f t="shared" ref="L648" si="536">K648*J648</f>
        <v>164.19759174000001</v>
      </c>
      <c r="M648" s="106">
        <v>0.9</v>
      </c>
      <c r="N648" s="106">
        <f t="shared" ref="N648" si="537">M648*G648</f>
        <v>189.4587597</v>
      </c>
      <c r="O648" s="106">
        <f t="shared" ref="O648" si="538">L648+N648</f>
        <v>353.65635143999998</v>
      </c>
      <c r="P648" s="108"/>
    </row>
    <row r="649" spans="1:16" s="165" customFormat="1" x14ac:dyDescent="0.25">
      <c r="A649" s="109" t="str">
        <f>IF(G649&lt;&gt;"",1+MAX($A$13:A648),"")</f>
        <v/>
      </c>
      <c r="B649" s="166"/>
      <c r="C649" s="166"/>
      <c r="E649" s="112"/>
      <c r="F649" s="107"/>
      <c r="G649" s="112"/>
      <c r="H649" s="166"/>
      <c r="I649" s="110"/>
      <c r="J649" s="111"/>
      <c r="K649" s="106"/>
      <c r="L649" s="106"/>
      <c r="M649" s="106"/>
      <c r="N649" s="106"/>
      <c r="O649" s="106"/>
      <c r="P649" s="108"/>
    </row>
    <row r="650" spans="1:16" s="165" customFormat="1" x14ac:dyDescent="0.25">
      <c r="A650" s="109" t="str">
        <f>IF(G650&lt;&gt;"",1+MAX($A$13:A649),"")</f>
        <v/>
      </c>
      <c r="B650" s="166"/>
      <c r="C650" s="166"/>
      <c r="D650" s="58" t="s">
        <v>403</v>
      </c>
      <c r="E650" s="112"/>
      <c r="F650" s="107"/>
      <c r="G650" s="112"/>
      <c r="H650" s="166"/>
      <c r="J650" s="111"/>
      <c r="K650" s="106"/>
      <c r="L650" s="106"/>
      <c r="M650" s="106"/>
      <c r="N650" s="106"/>
      <c r="O650" s="106"/>
      <c r="P650" s="108"/>
    </row>
    <row r="651" spans="1:16" s="163" customFormat="1" x14ac:dyDescent="0.25">
      <c r="A651" s="109">
        <f>IF(G651&lt;&gt;"",1+MAX($A$13:A650),"")</f>
        <v>407</v>
      </c>
      <c r="B651" s="178" t="s">
        <v>399</v>
      </c>
      <c r="C651" s="164" t="s">
        <v>131</v>
      </c>
      <c r="D651" s="113" t="s">
        <v>243</v>
      </c>
      <c r="E651" s="112">
        <f>16.04*0.67*4/27</f>
        <v>1.5921185185185185</v>
      </c>
      <c r="F651" s="107">
        <f>VLOOKUP(H651,'PROJECT SUMMARY'!$C$26:$D$32,2,0)</f>
        <v>0.05</v>
      </c>
      <c r="G651" s="112">
        <f t="shared" si="534"/>
        <v>1.6717244444444446</v>
      </c>
      <c r="H651" s="170" t="s">
        <v>16</v>
      </c>
      <c r="I651" s="110">
        <v>3.2</v>
      </c>
      <c r="J651" s="111">
        <f>I651*G651</f>
        <v>5.3495182222222226</v>
      </c>
      <c r="K651" s="106">
        <v>52</v>
      </c>
      <c r="L651" s="106">
        <f>K651*J651</f>
        <v>278.1749475555556</v>
      </c>
      <c r="M651" s="106">
        <v>206</v>
      </c>
      <c r="N651" s="106">
        <f>M651*G651</f>
        <v>344.37523555555561</v>
      </c>
      <c r="O651" s="106">
        <f>L651+N651</f>
        <v>622.55018311111121</v>
      </c>
      <c r="P651" s="108"/>
    </row>
    <row r="652" spans="1:16" s="167" customFormat="1" x14ac:dyDescent="0.25">
      <c r="A652" s="109">
        <f>IF(G652&lt;&gt;"",1+MAX($A$13:A651),"")</f>
        <v>408</v>
      </c>
      <c r="B652" s="178" t="s">
        <v>399</v>
      </c>
      <c r="C652" s="168" t="s">
        <v>131</v>
      </c>
      <c r="D652" s="113" t="s">
        <v>217</v>
      </c>
      <c r="E652" s="112">
        <f>16.04*4/1.33*1.043</f>
        <v>50.314947368421045</v>
      </c>
      <c r="F652" s="107">
        <f>VLOOKUP(H652,'PROJECT SUMMARY'!$C$26:$D$32,2,0)</f>
        <v>0.05</v>
      </c>
      <c r="G652" s="112">
        <f t="shared" ref="G652" si="539">E652*(1+F652)</f>
        <v>52.830694736842098</v>
      </c>
      <c r="H652" s="168" t="s">
        <v>14</v>
      </c>
      <c r="I652" s="110">
        <v>1.4999999999999999E-2</v>
      </c>
      <c r="J652" s="111">
        <f t="shared" ref="J652" si="540">I652*G652</f>
        <v>0.79246042105263148</v>
      </c>
      <c r="K652" s="106">
        <v>52</v>
      </c>
      <c r="L652" s="106">
        <f t="shared" ref="L652" si="541">K652*J652</f>
        <v>41.207941894736834</v>
      </c>
      <c r="M652" s="106">
        <v>0.9</v>
      </c>
      <c r="N652" s="106">
        <f t="shared" ref="N652" si="542">M652*G652</f>
        <v>47.54762526315789</v>
      </c>
      <c r="O652" s="106">
        <f t="shared" ref="O652" si="543">L652+N652</f>
        <v>88.755567157894717</v>
      </c>
      <c r="P652" s="108"/>
    </row>
    <row r="653" spans="1:16" s="167" customFormat="1" x14ac:dyDescent="0.25">
      <c r="A653" s="109" t="str">
        <f>IF(G653&lt;&gt;"",1+MAX($A$13:A652),"")</f>
        <v/>
      </c>
      <c r="B653" s="168"/>
      <c r="C653" s="168"/>
      <c r="D653" s="113"/>
      <c r="E653" s="112"/>
      <c r="F653" s="107"/>
      <c r="G653" s="112"/>
      <c r="H653" s="168"/>
      <c r="I653" s="110"/>
      <c r="J653" s="111"/>
      <c r="K653" s="72"/>
      <c r="L653" s="106"/>
      <c r="M653" s="106"/>
      <c r="N653" s="106"/>
      <c r="O653" s="106"/>
      <c r="P653" s="108"/>
    </row>
    <row r="654" spans="1:16" s="163" customFormat="1" x14ac:dyDescent="0.25">
      <c r="A654" s="109">
        <f>IF(G654&lt;&gt;"",1+MAX($A$13:A653),"")</f>
        <v>409</v>
      </c>
      <c r="B654" s="178" t="s">
        <v>399</v>
      </c>
      <c r="C654" s="164" t="s">
        <v>131</v>
      </c>
      <c r="D654" s="113" t="s">
        <v>244</v>
      </c>
      <c r="E654" s="112">
        <f>16.04*8*0.67/27</f>
        <v>3.184237037037037</v>
      </c>
      <c r="F654" s="107">
        <f>VLOOKUP(H654,'PROJECT SUMMARY'!$C$26:$D$32,2,0)</f>
        <v>0.05</v>
      </c>
      <c r="G654" s="112">
        <f t="shared" si="534"/>
        <v>3.3434488888888891</v>
      </c>
      <c r="H654" s="170" t="s">
        <v>16</v>
      </c>
      <c r="I654" s="110">
        <v>3.2</v>
      </c>
      <c r="J654" s="111">
        <f>I654*G654</f>
        <v>10.699036444444445</v>
      </c>
      <c r="K654" s="106">
        <v>52</v>
      </c>
      <c r="L654" s="106">
        <f>K654*J654</f>
        <v>556.34989511111121</v>
      </c>
      <c r="M654" s="106">
        <v>206</v>
      </c>
      <c r="N654" s="106">
        <f>M654*G654</f>
        <v>688.75047111111121</v>
      </c>
      <c r="O654" s="106">
        <f>L654+N654</f>
        <v>1245.1003662222224</v>
      </c>
      <c r="P654" s="108"/>
    </row>
    <row r="655" spans="1:16" s="167" customFormat="1" x14ac:dyDescent="0.25">
      <c r="A655" s="109">
        <f>IF(G655&lt;&gt;"",1+MAX($A$13:A654),"")</f>
        <v>410</v>
      </c>
      <c r="B655" s="178" t="s">
        <v>399</v>
      </c>
      <c r="C655" s="168" t="s">
        <v>131</v>
      </c>
      <c r="D655" s="113" t="s">
        <v>217</v>
      </c>
      <c r="E655" s="112">
        <f>16.04*8/1.33*1.043</f>
        <v>100.62989473684209</v>
      </c>
      <c r="F655" s="107">
        <f>VLOOKUP(H655,'PROJECT SUMMARY'!$C$26:$D$32,2,0)</f>
        <v>0.05</v>
      </c>
      <c r="G655" s="112">
        <f t="shared" ref="G655" si="544">E655*(1+F655)</f>
        <v>105.6613894736842</v>
      </c>
      <c r="H655" s="168" t="s">
        <v>14</v>
      </c>
      <c r="I655" s="110">
        <v>1.4999999999999999E-2</v>
      </c>
      <c r="J655" s="111">
        <f t="shared" ref="J655" si="545">I655*G655</f>
        <v>1.584920842105263</v>
      </c>
      <c r="K655" s="106">
        <v>52</v>
      </c>
      <c r="L655" s="106">
        <f t="shared" ref="L655" si="546">K655*J655</f>
        <v>82.415883789473668</v>
      </c>
      <c r="M655" s="106">
        <v>0.9</v>
      </c>
      <c r="N655" s="106">
        <f t="shared" ref="N655" si="547">M655*G655</f>
        <v>95.09525052631578</v>
      </c>
      <c r="O655" s="106">
        <f t="shared" ref="O655" si="548">L655+N655</f>
        <v>177.51113431578943</v>
      </c>
      <c r="P655" s="108"/>
    </row>
    <row r="656" spans="1:16" s="167" customFormat="1" x14ac:dyDescent="0.25">
      <c r="A656" s="109" t="str">
        <f>IF(G656&lt;&gt;"",1+MAX($A$13:A655),"")</f>
        <v/>
      </c>
      <c r="B656" s="168"/>
      <c r="C656" s="168"/>
      <c r="D656" s="113"/>
      <c r="E656" s="112"/>
      <c r="F656" s="107"/>
      <c r="G656" s="112"/>
      <c r="H656" s="168"/>
      <c r="I656" s="110"/>
      <c r="J656" s="111"/>
      <c r="K656" s="72"/>
      <c r="L656" s="106"/>
      <c r="M656" s="106"/>
      <c r="N656" s="106"/>
      <c r="O656" s="106"/>
      <c r="P656" s="108"/>
    </row>
    <row r="657" spans="1:16" s="163" customFormat="1" x14ac:dyDescent="0.25">
      <c r="A657" s="109">
        <f>IF(G657&lt;&gt;"",1+MAX($A$13:A656),"")</f>
        <v>411</v>
      </c>
      <c r="B657" s="178" t="s">
        <v>399</v>
      </c>
      <c r="C657" s="164" t="s">
        <v>131</v>
      </c>
      <c r="D657" s="113" t="s">
        <v>245</v>
      </c>
      <c r="E657" s="112">
        <f>64.02*5*0.67/27</f>
        <v>7.9432222222222215</v>
      </c>
      <c r="F657" s="107">
        <f>VLOOKUP(H657,'PROJECT SUMMARY'!$C$26:$D$32,2,0)</f>
        <v>0.05</v>
      </c>
      <c r="G657" s="112">
        <f t="shared" si="534"/>
        <v>8.3403833333333335</v>
      </c>
      <c r="H657" s="170" t="s">
        <v>16</v>
      </c>
      <c r="I657" s="110">
        <v>3.2</v>
      </c>
      <c r="J657" s="111">
        <f>I657*G657</f>
        <v>26.68922666666667</v>
      </c>
      <c r="K657" s="106">
        <v>52</v>
      </c>
      <c r="L657" s="106">
        <f>K657*J657</f>
        <v>1387.8397866666669</v>
      </c>
      <c r="M657" s="106">
        <v>206</v>
      </c>
      <c r="N657" s="106">
        <f>M657*G657</f>
        <v>1718.1189666666667</v>
      </c>
      <c r="O657" s="106">
        <f>L657+N657</f>
        <v>3105.9587533333333</v>
      </c>
      <c r="P657" s="108"/>
    </row>
    <row r="658" spans="1:16" s="163" customFormat="1" x14ac:dyDescent="0.25">
      <c r="A658" s="109">
        <f>IF(G658&lt;&gt;"",1+MAX($A$13:A657),"")</f>
        <v>412</v>
      </c>
      <c r="B658" s="178" t="s">
        <v>399</v>
      </c>
      <c r="C658" s="164" t="s">
        <v>131</v>
      </c>
      <c r="D658" s="113" t="s">
        <v>217</v>
      </c>
      <c r="E658" s="112">
        <f>64.02*5/1.33*1.043</f>
        <v>251.02578947368414</v>
      </c>
      <c r="F658" s="107">
        <f>VLOOKUP(H658,'PROJECT SUMMARY'!$C$26:$D$32,2,0)</f>
        <v>0.05</v>
      </c>
      <c r="G658" s="112">
        <f t="shared" si="534"/>
        <v>263.57707894736836</v>
      </c>
      <c r="H658" s="168" t="s">
        <v>14</v>
      </c>
      <c r="I658" s="110">
        <v>1.4999999999999999E-2</v>
      </c>
      <c r="J658" s="111">
        <f t="shared" ref="J658" si="549">I658*G658</f>
        <v>3.9536561842105251</v>
      </c>
      <c r="K658" s="106">
        <v>52</v>
      </c>
      <c r="L658" s="106">
        <f t="shared" ref="L658" si="550">K658*J658</f>
        <v>205.5901215789473</v>
      </c>
      <c r="M658" s="106">
        <v>0.9</v>
      </c>
      <c r="N658" s="106">
        <f t="shared" ref="N658" si="551">M658*G658</f>
        <v>237.21937105263154</v>
      </c>
      <c r="O658" s="106">
        <f t="shared" ref="O658" si="552">L658+N658</f>
        <v>442.80949263157885</v>
      </c>
      <c r="P658" s="108"/>
    </row>
    <row r="659" spans="1:16" s="167" customFormat="1" x14ac:dyDescent="0.25">
      <c r="A659" s="109" t="str">
        <f>IF(G659&lt;&gt;"",1+MAX($A$13:A658),"")</f>
        <v/>
      </c>
      <c r="B659" s="168"/>
      <c r="C659" s="168"/>
      <c r="D659" s="113"/>
      <c r="E659" s="112"/>
      <c r="F659" s="107"/>
      <c r="G659" s="112"/>
      <c r="H659" s="168"/>
      <c r="K659" s="106"/>
      <c r="L659" s="106"/>
      <c r="M659" s="106"/>
      <c r="N659" s="106"/>
      <c r="O659" s="106"/>
      <c r="P659" s="108"/>
    </row>
    <row r="660" spans="1:16" s="167" customFormat="1" x14ac:dyDescent="0.25">
      <c r="A660" s="109" t="str">
        <f>IF(G660&lt;&gt;"",1+MAX($A$13:A659),"")</f>
        <v/>
      </c>
      <c r="B660" s="168"/>
      <c r="C660" s="168"/>
      <c r="D660" s="58" t="s">
        <v>402</v>
      </c>
      <c r="E660" s="112"/>
      <c r="F660" s="107"/>
      <c r="G660" s="112"/>
      <c r="H660" s="168"/>
      <c r="J660" s="111"/>
      <c r="K660" s="106"/>
      <c r="L660" s="106"/>
      <c r="M660" s="106"/>
      <c r="N660" s="106"/>
      <c r="O660" s="106"/>
      <c r="P660" s="108"/>
    </row>
    <row r="661" spans="1:16" s="163" customFormat="1" x14ac:dyDescent="0.25">
      <c r="A661" s="109">
        <f>IF(G661&lt;&gt;"",1+MAX($A$13:A660),"")</f>
        <v>413</v>
      </c>
      <c r="B661" s="178" t="s">
        <v>399</v>
      </c>
      <c r="C661" s="164" t="s">
        <v>131</v>
      </c>
      <c r="D661" s="113" t="s">
        <v>246</v>
      </c>
      <c r="E661" s="112">
        <f>2088.78*0.5/27</f>
        <v>38.681111111111115</v>
      </c>
      <c r="F661" s="107">
        <f>VLOOKUP(H661,'PROJECT SUMMARY'!$C$26:$D$32,2,0)</f>
        <v>0.05</v>
      </c>
      <c r="G661" s="112">
        <f t="shared" si="534"/>
        <v>40.615166666666674</v>
      </c>
      <c r="H661" s="164" t="s">
        <v>16</v>
      </c>
      <c r="I661" s="110">
        <v>3.2</v>
      </c>
      <c r="J661" s="111">
        <f>I661*G661</f>
        <v>129.96853333333337</v>
      </c>
      <c r="K661" s="106">
        <v>52</v>
      </c>
      <c r="L661" s="106">
        <f>K661*J661</f>
        <v>6758.3637333333354</v>
      </c>
      <c r="M661" s="106">
        <v>206</v>
      </c>
      <c r="N661" s="106">
        <f>M661*G661</f>
        <v>8366.7243333333354</v>
      </c>
      <c r="O661" s="106">
        <f>L661+N661</f>
        <v>15125.088066666671</v>
      </c>
      <c r="P661" s="108"/>
    </row>
    <row r="662" spans="1:16" s="169" customFormat="1" x14ac:dyDescent="0.25">
      <c r="A662" s="109">
        <f>IF(G662&lt;&gt;"",1+MAX($A$13:A661),"")</f>
        <v>414</v>
      </c>
      <c r="B662" s="178" t="s">
        <v>399</v>
      </c>
      <c r="C662" s="170" t="s">
        <v>131</v>
      </c>
      <c r="D662" s="113" t="s">
        <v>217</v>
      </c>
      <c r="E662" s="112">
        <f>2088.78*2/1.33*1.043</f>
        <v>3276.0865263157893</v>
      </c>
      <c r="F662" s="107">
        <f>VLOOKUP(H662,'PROJECT SUMMARY'!$C$26:$D$32,2,0)</f>
        <v>0.05</v>
      </c>
      <c r="G662" s="112">
        <f t="shared" ref="G662" si="553">E662*(1+F662)</f>
        <v>3439.890852631579</v>
      </c>
      <c r="H662" s="170" t="s">
        <v>14</v>
      </c>
      <c r="I662" s="110">
        <v>1.4999999999999999E-2</v>
      </c>
      <c r="J662" s="111">
        <f t="shared" ref="J662" si="554">I662*G662</f>
        <v>51.598362789473683</v>
      </c>
      <c r="K662" s="106">
        <v>52</v>
      </c>
      <c r="L662" s="106">
        <f t="shared" ref="L662" si="555">K662*J662</f>
        <v>2683.1148650526316</v>
      </c>
      <c r="M662" s="106">
        <v>0.9</v>
      </c>
      <c r="N662" s="106">
        <f t="shared" ref="N662" si="556">M662*G662</f>
        <v>3095.9017673684211</v>
      </c>
      <c r="O662" s="106">
        <f t="shared" ref="O662" si="557">L662+N662</f>
        <v>5779.0166324210531</v>
      </c>
      <c r="P662" s="108"/>
    </row>
    <row r="663" spans="1:16" s="169" customFormat="1" x14ac:dyDescent="0.25">
      <c r="A663" s="109" t="str">
        <f>IF(G663&lt;&gt;"",1+MAX($A$13:A662),"")</f>
        <v/>
      </c>
      <c r="B663" s="170"/>
      <c r="C663" s="170"/>
      <c r="D663" s="113"/>
      <c r="E663" s="112"/>
      <c r="F663" s="107"/>
      <c r="G663" s="112"/>
      <c r="H663" s="170"/>
      <c r="I663" s="110"/>
      <c r="J663" s="111"/>
      <c r="K663" s="72"/>
      <c r="L663" s="106"/>
      <c r="M663" s="106"/>
      <c r="N663" s="106"/>
      <c r="O663" s="106"/>
      <c r="P663" s="108"/>
    </row>
    <row r="664" spans="1:16" s="163" customFormat="1" x14ac:dyDescent="0.25">
      <c r="A664" s="109">
        <f>IF(G664&lt;&gt;"",1+MAX($A$13:A663),"")</f>
        <v>415</v>
      </c>
      <c r="B664" s="178" t="s">
        <v>399</v>
      </c>
      <c r="C664" s="164" t="s">
        <v>131</v>
      </c>
      <c r="D664" s="113" t="s">
        <v>247</v>
      </c>
      <c r="E664" s="112">
        <f>513.49*1/27</f>
        <v>19.01814814814815</v>
      </c>
      <c r="F664" s="107">
        <f>VLOOKUP(H664,'PROJECT SUMMARY'!$C$26:$D$32,2,0)</f>
        <v>0.05</v>
      </c>
      <c r="G664" s="112">
        <f t="shared" si="534"/>
        <v>19.96905555555556</v>
      </c>
      <c r="H664" s="170" t="s">
        <v>16</v>
      </c>
      <c r="I664" s="110">
        <v>3.2</v>
      </c>
      <c r="J664" s="111">
        <f>I664*G664</f>
        <v>63.900977777777797</v>
      </c>
      <c r="K664" s="106">
        <v>52</v>
      </c>
      <c r="L664" s="106">
        <f>K664*J664</f>
        <v>3322.8508444444456</v>
      </c>
      <c r="M664" s="106">
        <v>206</v>
      </c>
      <c r="N664" s="106">
        <f>M664*G664</f>
        <v>4113.6254444444457</v>
      </c>
      <c r="O664" s="106">
        <f>L664+N664</f>
        <v>7436.4762888888908</v>
      </c>
      <c r="P664" s="108"/>
    </row>
    <row r="665" spans="1:16" s="163" customFormat="1" x14ac:dyDescent="0.25">
      <c r="A665" s="109">
        <f>IF(G665&lt;&gt;"",1+MAX($A$13:A664),"")</f>
        <v>416</v>
      </c>
      <c r="B665" s="178" t="s">
        <v>399</v>
      </c>
      <c r="C665" s="164" t="s">
        <v>131</v>
      </c>
      <c r="D665" s="113" t="s">
        <v>217</v>
      </c>
      <c r="E665" s="112">
        <f>513.49*2/1.33*1.043</f>
        <v>805.36852631578938</v>
      </c>
      <c r="F665" s="107">
        <f>VLOOKUP(H665,'PROJECT SUMMARY'!$C$26:$D$32,2,0)</f>
        <v>0.05</v>
      </c>
      <c r="G665" s="112">
        <f t="shared" si="534"/>
        <v>845.63695263157888</v>
      </c>
      <c r="H665" s="170" t="s">
        <v>14</v>
      </c>
      <c r="I665" s="110">
        <v>1.4999999999999999E-2</v>
      </c>
      <c r="J665" s="111">
        <f t="shared" ref="J665" si="558">I665*G665</f>
        <v>12.684554289473683</v>
      </c>
      <c r="K665" s="106">
        <v>52</v>
      </c>
      <c r="L665" s="106">
        <f t="shared" ref="L665" si="559">K665*J665</f>
        <v>659.59682305263152</v>
      </c>
      <c r="M665" s="106">
        <v>0.9</v>
      </c>
      <c r="N665" s="106">
        <f t="shared" ref="N665" si="560">M665*G665</f>
        <v>761.07325736842097</v>
      </c>
      <c r="O665" s="106">
        <f t="shared" ref="O665" si="561">L665+N665</f>
        <v>1420.6700804210525</v>
      </c>
      <c r="P665" s="108"/>
    </row>
    <row r="666" spans="1:16" s="177" customFormat="1" x14ac:dyDescent="0.25">
      <c r="A666" s="109" t="str">
        <f>IF(G666&lt;&gt;"",1+MAX($A$13:A665),"")</f>
        <v/>
      </c>
      <c r="B666" s="178"/>
      <c r="C666" s="178"/>
      <c r="D666" s="113"/>
      <c r="E666" s="112"/>
      <c r="F666" s="107"/>
      <c r="G666" s="112"/>
      <c r="H666" s="178"/>
      <c r="I666" s="110"/>
      <c r="J666" s="111"/>
      <c r="K666" s="106"/>
      <c r="L666" s="106"/>
      <c r="M666" s="106"/>
      <c r="N666" s="106"/>
      <c r="O666" s="106"/>
      <c r="P666" s="108"/>
    </row>
    <row r="667" spans="1:16" s="177" customFormat="1" x14ac:dyDescent="0.25">
      <c r="A667" s="109" t="str">
        <f>IF(G667&lt;&gt;"",1+MAX($A$13:A666),"")</f>
        <v/>
      </c>
      <c r="B667" s="178"/>
      <c r="C667" s="178"/>
      <c r="D667" s="58" t="s">
        <v>68</v>
      </c>
      <c r="E667" s="112"/>
      <c r="F667" s="107"/>
      <c r="G667" s="112"/>
      <c r="H667" s="178"/>
      <c r="I667" s="110"/>
      <c r="J667" s="111"/>
      <c r="K667" s="106"/>
      <c r="L667" s="106"/>
      <c r="M667" s="106"/>
      <c r="N667" s="106"/>
      <c r="O667" s="106"/>
      <c r="P667" s="108"/>
    </row>
    <row r="668" spans="1:16" s="177" customFormat="1" x14ac:dyDescent="0.25">
      <c r="A668" s="109">
        <f>IF(G668&lt;&gt;"",1+MAX($A$13:A667),"")</f>
        <v>417</v>
      </c>
      <c r="B668" s="178"/>
      <c r="C668" s="178" t="s">
        <v>65</v>
      </c>
      <c r="D668" s="113" t="s">
        <v>69</v>
      </c>
      <c r="E668" s="112">
        <v>75.75</v>
      </c>
      <c r="F668" s="107">
        <f>VLOOKUP(H668,'PROJECT SUMMARY'!$C$26:$D$32,2,0)</f>
        <v>0.05</v>
      </c>
      <c r="G668" s="112">
        <f>E668*(1+F668)</f>
        <v>79.537500000000009</v>
      </c>
      <c r="H668" s="178" t="s">
        <v>16</v>
      </c>
      <c r="I668" s="110">
        <v>0.3</v>
      </c>
      <c r="J668" s="111">
        <f>I668*G668</f>
        <v>23.861250000000002</v>
      </c>
      <c r="K668" s="106">
        <v>52</v>
      </c>
      <c r="L668" s="106">
        <f>K668*J668</f>
        <v>1240.7850000000001</v>
      </c>
      <c r="M668" s="106"/>
      <c r="N668" s="106">
        <f>M668*G668</f>
        <v>0</v>
      </c>
      <c r="O668" s="106">
        <f>L668+N668</f>
        <v>1240.7850000000001</v>
      </c>
      <c r="P668" s="108"/>
    </row>
    <row r="669" spans="1:16" s="177" customFormat="1" x14ac:dyDescent="0.25">
      <c r="A669" s="109">
        <f>IF(G669&lt;&gt;"",1+MAX($A$13:A668),"")</f>
        <v>418</v>
      </c>
      <c r="B669" s="178"/>
      <c r="C669" s="178" t="s">
        <v>65</v>
      </c>
      <c r="D669" s="113" t="s">
        <v>234</v>
      </c>
      <c r="E669" s="112">
        <f>4683.91/2000</f>
        <v>2.341955</v>
      </c>
      <c r="F669" s="107">
        <f>VLOOKUP(H669,'PROJECT SUMMARY'!$C$26:$D$32,2,0)</f>
        <v>0.05</v>
      </c>
      <c r="G669" s="112">
        <f>E669*(1+F669)</f>
        <v>2.4590527500000001</v>
      </c>
      <c r="H669" s="178" t="s">
        <v>15</v>
      </c>
      <c r="I669" s="110">
        <v>3</v>
      </c>
      <c r="J669" s="111">
        <f>I669*G669</f>
        <v>7.3771582500000008</v>
      </c>
      <c r="K669" s="106">
        <v>52</v>
      </c>
      <c r="L669" s="106">
        <f>K669*J669</f>
        <v>383.61222900000007</v>
      </c>
      <c r="M669" s="106"/>
      <c r="N669" s="106">
        <f>M669*G669</f>
        <v>0</v>
      </c>
      <c r="O669" s="106">
        <f>L669+N669</f>
        <v>383.61222900000007</v>
      </c>
      <c r="P669" s="108"/>
    </row>
    <row r="670" spans="1:16" s="163" customFormat="1" x14ac:dyDescent="0.25">
      <c r="A670" s="109" t="str">
        <f>IF(G670&lt;&gt;"",1+MAX($A$13:A669),"")</f>
        <v/>
      </c>
      <c r="B670" s="164"/>
      <c r="C670" s="164"/>
      <c r="E670" s="112"/>
      <c r="F670" s="107"/>
      <c r="G670" s="112"/>
      <c r="H670" s="164"/>
      <c r="K670" s="106"/>
      <c r="L670" s="106"/>
      <c r="M670" s="106"/>
      <c r="N670" s="106"/>
      <c r="O670" s="106"/>
      <c r="P670" s="108"/>
    </row>
    <row r="671" spans="1:16" s="163" customFormat="1" x14ac:dyDescent="0.25">
      <c r="A671" s="109" t="str">
        <f>IF(G671&lt;&gt;"",1+MAX($A$13:A670),"")</f>
        <v/>
      </c>
      <c r="B671" s="164"/>
      <c r="C671" s="164"/>
      <c r="D671" s="58" t="s">
        <v>240</v>
      </c>
      <c r="E671" s="112"/>
      <c r="F671" s="107"/>
      <c r="G671" s="112"/>
      <c r="H671" s="164"/>
      <c r="J671" s="111"/>
      <c r="K671" s="106"/>
      <c r="L671" s="106"/>
      <c r="M671" s="106"/>
      <c r="N671" s="106"/>
      <c r="O671" s="106"/>
      <c r="P671" s="108"/>
    </row>
    <row r="672" spans="1:16" s="118" customFormat="1" x14ac:dyDescent="0.25">
      <c r="A672" s="109">
        <f>IF(G672&lt;&gt;"",1+MAX($A$13:A671),"")</f>
        <v>419</v>
      </c>
      <c r="B672" s="119" t="s">
        <v>400</v>
      </c>
      <c r="C672" s="119" t="s">
        <v>131</v>
      </c>
      <c r="D672" s="113" t="s">
        <v>281</v>
      </c>
      <c r="E672" s="112">
        <v>1</v>
      </c>
      <c r="F672" s="107">
        <f>VLOOKUP(H672,'PROJECT SUMMARY'!$C$26:$D$32,2,0)</f>
        <v>0</v>
      </c>
      <c r="G672" s="112">
        <f t="shared" ref="G672:G687" si="562">E672*(1+F672)</f>
        <v>1</v>
      </c>
      <c r="H672" s="119" t="s">
        <v>10</v>
      </c>
      <c r="I672" s="110">
        <v>3.65</v>
      </c>
      <c r="J672" s="111">
        <f t="shared" ref="J672:J690" si="563">I672*G672</f>
        <v>3.65</v>
      </c>
      <c r="K672" s="72">
        <v>60</v>
      </c>
      <c r="L672" s="106">
        <f t="shared" ref="L672:L690" si="564">K672*J672</f>
        <v>219</v>
      </c>
      <c r="M672" s="106">
        <v>449</v>
      </c>
      <c r="N672" s="106">
        <f t="shared" ref="N672:N690" si="565">M672*G672</f>
        <v>449</v>
      </c>
      <c r="O672" s="106">
        <f t="shared" ref="O672:O690" si="566">L672+N672</f>
        <v>668</v>
      </c>
      <c r="P672" s="108"/>
    </row>
    <row r="673" spans="1:16" s="163" customFormat="1" x14ac:dyDescent="0.25">
      <c r="A673" s="109">
        <f>IF(G673&lt;&gt;"",1+MAX($A$13:A672),"")</f>
        <v>420</v>
      </c>
      <c r="B673" s="178" t="s">
        <v>400</v>
      </c>
      <c r="C673" s="164" t="s">
        <v>131</v>
      </c>
      <c r="D673" s="113" t="s">
        <v>241</v>
      </c>
      <c r="E673" s="112">
        <v>16.96</v>
      </c>
      <c r="F673" s="107">
        <f>VLOOKUP(H673,'PROJECT SUMMARY'!$C$26:$D$32,2,0)</f>
        <v>0</v>
      </c>
      <c r="G673" s="112">
        <f t="shared" ref="G673:G674" si="567">E673*(1+F673)</f>
        <v>16.96</v>
      </c>
      <c r="H673" s="164" t="s">
        <v>10</v>
      </c>
      <c r="I673" s="110">
        <v>2.4000000000000004</v>
      </c>
      <c r="J673" s="111">
        <f t="shared" si="563"/>
        <v>40.704000000000008</v>
      </c>
      <c r="K673" s="72">
        <v>60</v>
      </c>
      <c r="L673" s="106">
        <f t="shared" si="564"/>
        <v>2442.2400000000007</v>
      </c>
      <c r="M673" s="106">
        <v>186</v>
      </c>
      <c r="N673" s="106">
        <f t="shared" si="565"/>
        <v>3154.56</v>
      </c>
      <c r="O673" s="106">
        <f t="shared" si="566"/>
        <v>5596.8000000000011</v>
      </c>
      <c r="P673" s="108"/>
    </row>
    <row r="674" spans="1:16" s="163" customFormat="1" x14ac:dyDescent="0.25">
      <c r="A674" s="109">
        <f>IF(G674&lt;&gt;"",1+MAX($A$13:A673),"")</f>
        <v>421</v>
      </c>
      <c r="B674" s="178" t="s">
        <v>400</v>
      </c>
      <c r="C674" s="164" t="s">
        <v>131</v>
      </c>
      <c r="D674" s="113" t="s">
        <v>242</v>
      </c>
      <c r="E674" s="112">
        <v>1</v>
      </c>
      <c r="F674" s="107">
        <f>VLOOKUP(H674,'PROJECT SUMMARY'!$C$26:$D$32,2,0)</f>
        <v>0</v>
      </c>
      <c r="G674" s="112">
        <f t="shared" si="567"/>
        <v>1</v>
      </c>
      <c r="H674" s="164" t="s">
        <v>10</v>
      </c>
      <c r="I674" s="110">
        <v>5.32</v>
      </c>
      <c r="J674" s="111">
        <f t="shared" si="563"/>
        <v>5.32</v>
      </c>
      <c r="K674" s="72">
        <v>60</v>
      </c>
      <c r="L674" s="106">
        <f t="shared" si="564"/>
        <v>319.20000000000005</v>
      </c>
      <c r="M674" s="106">
        <v>800</v>
      </c>
      <c r="N674" s="106">
        <f t="shared" si="565"/>
        <v>800</v>
      </c>
      <c r="O674" s="106">
        <f t="shared" si="566"/>
        <v>1119.2</v>
      </c>
      <c r="P674" s="108"/>
    </row>
    <row r="675" spans="1:16" s="171" customFormat="1" x14ac:dyDescent="0.25">
      <c r="A675" s="109">
        <f>IF(G675&lt;&gt;"",1+MAX($A$13:A674),"")</f>
        <v>422</v>
      </c>
      <c r="B675" s="178" t="s">
        <v>400</v>
      </c>
      <c r="C675" s="172" t="s">
        <v>131</v>
      </c>
      <c r="D675" s="113" t="s">
        <v>249</v>
      </c>
      <c r="E675" s="112">
        <v>1</v>
      </c>
      <c r="F675" s="107">
        <f>VLOOKUP(H675,'PROJECT SUMMARY'!$C$26:$D$32,2,0)</f>
        <v>0</v>
      </c>
      <c r="G675" s="112">
        <f t="shared" ref="G675" si="568">E675*(1+F675)</f>
        <v>1</v>
      </c>
      <c r="H675" s="172" t="s">
        <v>10</v>
      </c>
      <c r="I675" s="110">
        <v>6.2</v>
      </c>
      <c r="J675" s="111">
        <f t="shared" si="563"/>
        <v>6.2</v>
      </c>
      <c r="K675" s="72">
        <v>60</v>
      </c>
      <c r="L675" s="106">
        <f t="shared" si="564"/>
        <v>372</v>
      </c>
      <c r="M675" s="106">
        <v>595</v>
      </c>
      <c r="N675" s="106">
        <f t="shared" si="565"/>
        <v>595</v>
      </c>
      <c r="O675" s="106">
        <f t="shared" si="566"/>
        <v>967</v>
      </c>
      <c r="P675" s="108"/>
    </row>
    <row r="676" spans="1:16" s="171" customFormat="1" x14ac:dyDescent="0.25">
      <c r="A676" s="109" t="str">
        <f>IF(G676&lt;&gt;"",1+MAX($A$13:A675),"")</f>
        <v/>
      </c>
      <c r="B676" s="172"/>
      <c r="C676" s="172"/>
      <c r="D676" s="113"/>
      <c r="E676" s="112"/>
      <c r="F676" s="107"/>
      <c r="G676" s="112"/>
      <c r="H676" s="172"/>
      <c r="I676" s="110"/>
      <c r="J676" s="111"/>
      <c r="K676" s="72"/>
      <c r="L676" s="106"/>
      <c r="M676" s="106"/>
      <c r="N676" s="106"/>
      <c r="O676" s="106"/>
      <c r="P676" s="108"/>
    </row>
    <row r="677" spans="1:16" s="169" customFormat="1" x14ac:dyDescent="0.25">
      <c r="A677" s="109">
        <f>IF(G677&lt;&gt;"",1+MAX($A$13:A676),"")</f>
        <v>423</v>
      </c>
      <c r="B677" s="178" t="s">
        <v>400</v>
      </c>
      <c r="C677" s="170" t="s">
        <v>131</v>
      </c>
      <c r="D677" s="113" t="s">
        <v>248</v>
      </c>
      <c r="E677" s="112">
        <v>39.92</v>
      </c>
      <c r="F677" s="107">
        <f>VLOOKUP(H677,'PROJECT SUMMARY'!$C$26:$D$32,2,0)</f>
        <v>0.05</v>
      </c>
      <c r="G677" s="112">
        <f t="shared" ref="G677" si="569">E677*(1+F677)</f>
        <v>41.916000000000004</v>
      </c>
      <c r="H677" s="170" t="s">
        <v>11</v>
      </c>
      <c r="I677" s="110">
        <v>0.45</v>
      </c>
      <c r="J677" s="111">
        <f t="shared" ref="J677" si="570">I677*G677</f>
        <v>18.862200000000001</v>
      </c>
      <c r="K677" s="72">
        <v>60</v>
      </c>
      <c r="L677" s="106">
        <f t="shared" ref="L677" si="571">K677*J677</f>
        <v>1131.732</v>
      </c>
      <c r="M677" s="106">
        <v>44.166666666666664</v>
      </c>
      <c r="N677" s="106">
        <f t="shared" ref="N677" si="572">M677*G677</f>
        <v>1851.29</v>
      </c>
      <c r="O677" s="106">
        <f t="shared" ref="O677" si="573">L677+N677</f>
        <v>2983.0219999999999</v>
      </c>
      <c r="P677" s="108"/>
    </row>
    <row r="678" spans="1:16" s="173" customFormat="1" x14ac:dyDescent="0.25">
      <c r="A678" s="109" t="str">
        <f>IF(G678&lt;&gt;"",1+MAX($A$13:A677),"")</f>
        <v/>
      </c>
      <c r="B678" s="174"/>
      <c r="C678" s="174"/>
      <c r="D678" s="113"/>
      <c r="E678" s="112"/>
      <c r="F678" s="107"/>
      <c r="G678" s="112"/>
      <c r="H678" s="174"/>
      <c r="I678" s="177"/>
      <c r="J678" s="177"/>
      <c r="K678" s="72"/>
      <c r="L678" s="106"/>
      <c r="M678" s="106"/>
      <c r="N678" s="106"/>
      <c r="O678" s="106"/>
      <c r="P678" s="108"/>
    </row>
    <row r="679" spans="1:16" s="173" customFormat="1" x14ac:dyDescent="0.25">
      <c r="A679" s="109" t="str">
        <f>IF(G679&lt;&gt;"",1+MAX($A$13:A678),"")</f>
        <v/>
      </c>
      <c r="B679" s="174"/>
      <c r="C679" s="174"/>
      <c r="D679" s="58" t="s">
        <v>250</v>
      </c>
      <c r="E679" s="112"/>
      <c r="F679" s="107"/>
      <c r="G679" s="112"/>
      <c r="H679" s="174"/>
      <c r="I679" s="177"/>
      <c r="J679" s="111"/>
      <c r="K679" s="72"/>
      <c r="L679" s="106"/>
      <c r="M679" s="106"/>
      <c r="N679" s="106"/>
      <c r="O679" s="106"/>
      <c r="P679" s="108"/>
    </row>
    <row r="680" spans="1:16" s="169" customFormat="1" x14ac:dyDescent="0.25">
      <c r="A680" s="109">
        <f>IF(G680&lt;&gt;"",1+MAX($A$13:A679),"")</f>
        <v>424</v>
      </c>
      <c r="B680" s="178" t="s">
        <v>400</v>
      </c>
      <c r="C680" s="170" t="s">
        <v>131</v>
      </c>
      <c r="D680" s="113" t="s">
        <v>251</v>
      </c>
      <c r="E680" s="112">
        <v>221.73</v>
      </c>
      <c r="F680" s="107">
        <f>VLOOKUP(H680,'PROJECT SUMMARY'!$C$26:$D$32,2,0)</f>
        <v>0.05</v>
      </c>
      <c r="G680" s="112">
        <f t="shared" ref="G680:G684" si="574">E680*(1+F680)</f>
        <v>232.81649999999999</v>
      </c>
      <c r="H680" s="174" t="s">
        <v>11</v>
      </c>
      <c r="I680" s="110">
        <v>0.7</v>
      </c>
      <c r="J680" s="111">
        <f t="shared" ref="J680:J684" si="575">I680*G680</f>
        <v>162.97154999999998</v>
      </c>
      <c r="K680" s="72">
        <v>60</v>
      </c>
      <c r="L680" s="106">
        <f t="shared" ref="L680:L684" si="576">K680*J680</f>
        <v>9778.2929999999978</v>
      </c>
      <c r="M680" s="106">
        <v>14.866666666666667</v>
      </c>
      <c r="N680" s="106">
        <f t="shared" ref="N680:N684" si="577">M680*G680</f>
        <v>3461.2053000000001</v>
      </c>
      <c r="O680" s="106">
        <f t="shared" ref="O680:O684" si="578">L680+N680</f>
        <v>13239.498299999997</v>
      </c>
      <c r="P680" s="108"/>
    </row>
    <row r="681" spans="1:16" s="169" customFormat="1" x14ac:dyDescent="0.25">
      <c r="A681" s="109">
        <f>IF(G681&lt;&gt;"",1+MAX($A$13:A680),"")</f>
        <v>425</v>
      </c>
      <c r="B681" s="178" t="s">
        <v>400</v>
      </c>
      <c r="C681" s="170" t="s">
        <v>131</v>
      </c>
      <c r="D681" s="113" t="s">
        <v>252</v>
      </c>
      <c r="E681" s="112">
        <v>53.56</v>
      </c>
      <c r="F681" s="107">
        <f>VLOOKUP(H681,'PROJECT SUMMARY'!$C$26:$D$32,2,0)</f>
        <v>0.05</v>
      </c>
      <c r="G681" s="112">
        <f t="shared" si="574"/>
        <v>56.238000000000007</v>
      </c>
      <c r="H681" s="174" t="s">
        <v>11</v>
      </c>
      <c r="I681" s="110">
        <v>0.52500000000000002</v>
      </c>
      <c r="J681" s="111">
        <f t="shared" si="575"/>
        <v>29.524950000000004</v>
      </c>
      <c r="K681" s="72">
        <v>60</v>
      </c>
      <c r="L681" s="106">
        <f t="shared" si="576"/>
        <v>1771.4970000000003</v>
      </c>
      <c r="M681" s="106">
        <v>8.5</v>
      </c>
      <c r="N681" s="106">
        <f t="shared" si="577"/>
        <v>478.02300000000008</v>
      </c>
      <c r="O681" s="106">
        <f t="shared" si="578"/>
        <v>2249.5200000000004</v>
      </c>
      <c r="P681" s="108"/>
    </row>
    <row r="682" spans="1:16" s="169" customFormat="1" x14ac:dyDescent="0.25">
      <c r="A682" s="109">
        <f>IF(G682&lt;&gt;"",1+MAX($A$13:A681),"")</f>
        <v>426</v>
      </c>
      <c r="B682" s="178" t="s">
        <v>400</v>
      </c>
      <c r="C682" s="170" t="s">
        <v>131</v>
      </c>
      <c r="D682" s="113" t="s">
        <v>253</v>
      </c>
      <c r="E682" s="112">
        <v>1</v>
      </c>
      <c r="F682" s="107">
        <f>VLOOKUP(H682,'PROJECT SUMMARY'!$C$26:$D$32,2,0)</f>
        <v>0.05</v>
      </c>
      <c r="G682" s="112">
        <f t="shared" si="574"/>
        <v>1.05</v>
      </c>
      <c r="H682" s="174" t="s">
        <v>11</v>
      </c>
      <c r="I682" s="110">
        <v>8.9499999999999993</v>
      </c>
      <c r="J682" s="111">
        <f t="shared" si="575"/>
        <v>9.3974999999999991</v>
      </c>
      <c r="K682" s="72">
        <v>60</v>
      </c>
      <c r="L682" s="106">
        <f t="shared" si="576"/>
        <v>563.84999999999991</v>
      </c>
      <c r="M682" s="106">
        <v>2336.64</v>
      </c>
      <c r="N682" s="106">
        <f t="shared" si="577"/>
        <v>2453.4719999999998</v>
      </c>
      <c r="O682" s="106">
        <f t="shared" si="578"/>
        <v>3017.3219999999997</v>
      </c>
      <c r="P682" s="108"/>
    </row>
    <row r="683" spans="1:16" s="169" customFormat="1" x14ac:dyDescent="0.25">
      <c r="A683" s="109">
        <f>IF(G683&lt;&gt;"",1+MAX($A$13:A682),"")</f>
        <v>427</v>
      </c>
      <c r="B683" s="178" t="s">
        <v>400</v>
      </c>
      <c r="C683" s="170" t="s">
        <v>131</v>
      </c>
      <c r="D683" s="113" t="s">
        <v>254</v>
      </c>
      <c r="E683" s="112">
        <v>1</v>
      </c>
      <c r="F683" s="107">
        <f>VLOOKUP(H683,'PROJECT SUMMARY'!$C$26:$D$32,2,0)</f>
        <v>0.05</v>
      </c>
      <c r="G683" s="112">
        <f t="shared" si="574"/>
        <v>1.05</v>
      </c>
      <c r="H683" s="174" t="s">
        <v>11</v>
      </c>
      <c r="I683" s="110">
        <v>5.63</v>
      </c>
      <c r="J683" s="111">
        <f t="shared" si="575"/>
        <v>5.9115000000000002</v>
      </c>
      <c r="K683" s="72">
        <v>60</v>
      </c>
      <c r="L683" s="106">
        <f t="shared" si="576"/>
        <v>354.69</v>
      </c>
      <c r="M683" s="106">
        <v>864</v>
      </c>
      <c r="N683" s="106">
        <f t="shared" si="577"/>
        <v>907.2</v>
      </c>
      <c r="O683" s="106">
        <f t="shared" si="578"/>
        <v>1261.8900000000001</v>
      </c>
      <c r="P683" s="108"/>
    </row>
    <row r="684" spans="1:16" s="169" customFormat="1" x14ac:dyDescent="0.25">
      <c r="A684" s="109">
        <f>IF(G684&lt;&gt;"",1+MAX($A$13:A683),"")</f>
        <v>428</v>
      </c>
      <c r="B684" s="178" t="s">
        <v>400</v>
      </c>
      <c r="C684" s="170" t="s">
        <v>131</v>
      </c>
      <c r="D684" s="113" t="s">
        <v>255</v>
      </c>
      <c r="E684" s="112">
        <v>2</v>
      </c>
      <c r="F684" s="107">
        <f>VLOOKUP(H684,'PROJECT SUMMARY'!$C$26:$D$32,2,0)</f>
        <v>0.05</v>
      </c>
      <c r="G684" s="112">
        <f t="shared" si="574"/>
        <v>2.1</v>
      </c>
      <c r="H684" s="174" t="s">
        <v>11</v>
      </c>
      <c r="I684" s="110">
        <v>4.9000000000000004</v>
      </c>
      <c r="J684" s="111">
        <f t="shared" si="575"/>
        <v>10.290000000000001</v>
      </c>
      <c r="K684" s="72">
        <v>60</v>
      </c>
      <c r="L684" s="106">
        <f t="shared" si="576"/>
        <v>617.40000000000009</v>
      </c>
      <c r="M684" s="106">
        <v>672</v>
      </c>
      <c r="N684" s="106">
        <f t="shared" si="577"/>
        <v>1411.2</v>
      </c>
      <c r="O684" s="106">
        <f t="shared" si="578"/>
        <v>2028.6000000000001</v>
      </c>
      <c r="P684" s="108"/>
    </row>
    <row r="685" spans="1:16" s="118" customFormat="1" x14ac:dyDescent="0.25">
      <c r="A685" s="109" t="str">
        <f>IF(G685&lt;&gt;"",1+MAX($A$13:A684),"")</f>
        <v/>
      </c>
      <c r="B685" s="119"/>
      <c r="C685" s="119"/>
      <c r="D685" s="113"/>
      <c r="E685" s="112"/>
      <c r="F685" s="107"/>
      <c r="G685" s="112"/>
      <c r="H685" s="119"/>
      <c r="I685" s="177"/>
      <c r="J685" s="111"/>
      <c r="K685" s="72"/>
      <c r="L685" s="106"/>
      <c r="M685" s="106"/>
      <c r="N685" s="106"/>
      <c r="O685" s="106"/>
      <c r="P685" s="108"/>
    </row>
    <row r="686" spans="1:16" s="118" customFormat="1" x14ac:dyDescent="0.25">
      <c r="A686" s="109" t="str">
        <f>IF(G686&lt;&gt;"",1+MAX($A$13:A685),"")</f>
        <v/>
      </c>
      <c r="B686" s="119"/>
      <c r="C686" s="119"/>
      <c r="D686" s="58" t="s">
        <v>137</v>
      </c>
      <c r="E686" s="112"/>
      <c r="F686" s="107"/>
      <c r="G686" s="112"/>
      <c r="H686" s="119"/>
      <c r="I686" s="110"/>
      <c r="J686" s="111"/>
      <c r="K686" s="72"/>
      <c r="L686" s="106"/>
      <c r="M686" s="106"/>
      <c r="N686" s="106"/>
      <c r="O686" s="106"/>
      <c r="P686" s="108"/>
    </row>
    <row r="687" spans="1:16" s="118" customFormat="1" x14ac:dyDescent="0.25">
      <c r="A687" s="109">
        <f>IF(G687&lt;&gt;"",1+MAX($A$13:A686),"")</f>
        <v>429</v>
      </c>
      <c r="B687" s="119" t="s">
        <v>399</v>
      </c>
      <c r="C687" s="119" t="s">
        <v>131</v>
      </c>
      <c r="D687" s="113" t="s">
        <v>138</v>
      </c>
      <c r="E687" s="112">
        <v>4827.18</v>
      </c>
      <c r="F687" s="107">
        <f>VLOOKUP(H687,'PROJECT SUMMARY'!$C$26:$D$32,2,0)</f>
        <v>0.05</v>
      </c>
      <c r="G687" s="112">
        <f t="shared" si="562"/>
        <v>5068.5390000000007</v>
      </c>
      <c r="H687" s="119" t="s">
        <v>12</v>
      </c>
      <c r="I687" s="110">
        <v>2.5000000000000001E-3</v>
      </c>
      <c r="J687" s="111">
        <f t="shared" si="563"/>
        <v>12.671347500000001</v>
      </c>
      <c r="K687" s="72">
        <v>60</v>
      </c>
      <c r="L687" s="106">
        <f t="shared" si="564"/>
        <v>760.2808500000001</v>
      </c>
      <c r="M687" s="106">
        <v>0.1</v>
      </c>
      <c r="N687" s="106">
        <f t="shared" si="565"/>
        <v>506.85390000000007</v>
      </c>
      <c r="O687" s="106">
        <f t="shared" si="566"/>
        <v>1267.1347500000002</v>
      </c>
      <c r="P687" s="108"/>
    </row>
    <row r="688" spans="1:16" s="120" customFormat="1" x14ac:dyDescent="0.25">
      <c r="A688" s="109">
        <f>IF(G688&lt;&gt;"",1+MAX($A$13:A687),"")</f>
        <v>430</v>
      </c>
      <c r="B688" s="178" t="s">
        <v>399</v>
      </c>
      <c r="C688" s="121" t="s">
        <v>131</v>
      </c>
      <c r="D688" s="113" t="s">
        <v>401</v>
      </c>
      <c r="E688" s="112">
        <v>4827.18</v>
      </c>
      <c r="F688" s="107">
        <f>VLOOKUP(H688,'PROJECT SUMMARY'!$C$26:$D$32,2,0)</f>
        <v>0.05</v>
      </c>
      <c r="G688" s="112">
        <f t="shared" ref="G688" si="579">E688*(1+F688)</f>
        <v>5068.5390000000007</v>
      </c>
      <c r="H688" s="121" t="s">
        <v>12</v>
      </c>
      <c r="I688" s="110">
        <v>6.0000000000000001E-3</v>
      </c>
      <c r="J688" s="111">
        <f t="shared" si="563"/>
        <v>30.411234000000004</v>
      </c>
      <c r="K688" s="72">
        <v>60</v>
      </c>
      <c r="L688" s="106">
        <f t="shared" si="564"/>
        <v>1824.6740400000003</v>
      </c>
      <c r="M688" s="106">
        <v>0.4</v>
      </c>
      <c r="N688" s="106">
        <f t="shared" si="565"/>
        <v>2027.4156000000003</v>
      </c>
      <c r="O688" s="106">
        <f t="shared" si="566"/>
        <v>3852.0896400000006</v>
      </c>
      <c r="P688" s="108"/>
    </row>
    <row r="689" spans="1:16" s="118" customFormat="1" x14ac:dyDescent="0.25">
      <c r="A689" s="109">
        <f>IF(G689&lt;&gt;"",1+MAX($A$13:A688),"")</f>
        <v>431</v>
      </c>
      <c r="B689" s="178" t="s">
        <v>399</v>
      </c>
      <c r="C689" s="119" t="s">
        <v>131</v>
      </c>
      <c r="D689" s="113" t="s">
        <v>135</v>
      </c>
      <c r="E689" s="112">
        <v>1</v>
      </c>
      <c r="F689" s="107">
        <f>VLOOKUP(H689,'PROJECT SUMMARY'!$C$26:$D$32,2,0)</f>
        <v>0</v>
      </c>
      <c r="G689" s="112">
        <f t="shared" ref="G689:G690" si="580">E689*(1+F689)</f>
        <v>1</v>
      </c>
      <c r="H689" s="119" t="s">
        <v>10</v>
      </c>
      <c r="I689" s="110">
        <v>3.88</v>
      </c>
      <c r="J689" s="111">
        <f t="shared" si="563"/>
        <v>3.88</v>
      </c>
      <c r="K689" s="72">
        <v>60</v>
      </c>
      <c r="L689" s="106">
        <f t="shared" si="564"/>
        <v>232.79999999999998</v>
      </c>
      <c r="M689" s="106">
        <v>943.00505361765067</v>
      </c>
      <c r="N689" s="106">
        <f t="shared" si="565"/>
        <v>943.00505361765067</v>
      </c>
      <c r="O689" s="106">
        <f t="shared" si="566"/>
        <v>1175.8050536176506</v>
      </c>
      <c r="P689" s="108"/>
    </row>
    <row r="690" spans="1:16" s="118" customFormat="1" x14ac:dyDescent="0.25">
      <c r="A690" s="109">
        <f>IF(G690&lt;&gt;"",1+MAX($A$13:A689),"")</f>
        <v>432</v>
      </c>
      <c r="B690" s="178" t="s">
        <v>399</v>
      </c>
      <c r="C690" s="119" t="s">
        <v>131</v>
      </c>
      <c r="D690" s="113" t="s">
        <v>136</v>
      </c>
      <c r="E690" s="112">
        <v>1</v>
      </c>
      <c r="F690" s="107">
        <f>VLOOKUP(H690,'PROJECT SUMMARY'!$C$26:$D$32,2,0)</f>
        <v>0</v>
      </c>
      <c r="G690" s="112">
        <f t="shared" si="580"/>
        <v>1</v>
      </c>
      <c r="H690" s="119" t="s">
        <v>10</v>
      </c>
      <c r="I690" s="110">
        <v>6.44</v>
      </c>
      <c r="J690" s="111">
        <f t="shared" si="563"/>
        <v>6.44</v>
      </c>
      <c r="K690" s="72">
        <v>60</v>
      </c>
      <c r="L690" s="106">
        <f t="shared" si="564"/>
        <v>386.40000000000003</v>
      </c>
      <c r="M690" s="106">
        <v>2089.1655367928015</v>
      </c>
      <c r="N690" s="106">
        <f t="shared" si="565"/>
        <v>2089.1655367928015</v>
      </c>
      <c r="O690" s="106">
        <f t="shared" si="566"/>
        <v>2475.5655367928016</v>
      </c>
      <c r="P690" s="108"/>
    </row>
    <row r="691" spans="1:16" ht="16.5" thickBot="1" x14ac:dyDescent="0.3">
      <c r="A691" s="47"/>
      <c r="B691" s="48"/>
      <c r="C691" s="48"/>
      <c r="D691" s="48"/>
      <c r="E691" s="48"/>
      <c r="F691" s="50"/>
      <c r="P691" s="46"/>
    </row>
    <row r="692" spans="1:16" ht="16.5" thickBot="1" x14ac:dyDescent="0.3">
      <c r="G692" s="52"/>
      <c r="H692" s="53"/>
      <c r="I692" s="54" t="s">
        <v>41</v>
      </c>
      <c r="J692" s="99">
        <f>SUM(J14:J691)</f>
        <v>7850.346451345129</v>
      </c>
      <c r="K692" s="55"/>
      <c r="L692" s="93">
        <f>SUM(L14:L691)</f>
        <v>493204.04123637371</v>
      </c>
      <c r="M692" s="94"/>
      <c r="N692" s="93">
        <f>SUM(N14:N691)</f>
        <v>598735.02957321191</v>
      </c>
      <c r="O692" s="93">
        <f>SUM(O14:O691)</f>
        <v>1091939.0708095848</v>
      </c>
      <c r="P692" s="93">
        <f>SUM(P14:P691)</f>
        <v>1091939.0708095857</v>
      </c>
    </row>
    <row r="693" spans="1:16" ht="16.5" thickBot="1" x14ac:dyDescent="0.3">
      <c r="G693" s="21">
        <v>9.5000000000000001E-2</v>
      </c>
      <c r="H693" s="1" t="s">
        <v>20</v>
      </c>
      <c r="I693" s="1"/>
      <c r="J693" s="1"/>
      <c r="L693" s="95"/>
      <c r="M693" s="95"/>
      <c r="N693" s="93">
        <f>N692*G693</f>
        <v>56879.827809455135</v>
      </c>
      <c r="O693" s="93">
        <f>N693</f>
        <v>56879.827809455135</v>
      </c>
      <c r="P693" s="96">
        <f>O693</f>
        <v>56879.827809455135</v>
      </c>
    </row>
    <row r="694" spans="1:16" ht="16.5" thickBot="1" x14ac:dyDescent="0.3">
      <c r="G694" s="56">
        <v>0.2</v>
      </c>
      <c r="H694" s="57" t="s">
        <v>21</v>
      </c>
      <c r="I694" s="57"/>
      <c r="J694" s="57"/>
      <c r="K694" s="55"/>
      <c r="L694" s="93">
        <f>L692*G694</f>
        <v>98640.808247274748</v>
      </c>
      <c r="M694" s="94"/>
      <c r="N694" s="93">
        <f>N692*G694</f>
        <v>119747.00591464239</v>
      </c>
      <c r="O694" s="93">
        <f>L694+N694</f>
        <v>218387.81416191714</v>
      </c>
      <c r="P694" s="93">
        <f>O694</f>
        <v>218387.81416191714</v>
      </c>
    </row>
    <row r="695" spans="1:16" ht="16.5" thickBot="1" x14ac:dyDescent="0.3">
      <c r="G695" s="47"/>
      <c r="H695" s="49" t="s">
        <v>35</v>
      </c>
      <c r="I695" s="49"/>
      <c r="J695" s="49"/>
      <c r="K695" s="51"/>
      <c r="L695" s="93">
        <f>SUM(L692:L694)</f>
        <v>591844.84948364843</v>
      </c>
      <c r="M695" s="97"/>
      <c r="N695" s="93">
        <f>SUM(N692:N694)</f>
        <v>775361.86329730938</v>
      </c>
      <c r="O695" s="93">
        <f>SUM(O692:O694)</f>
        <v>1367206.7127809571</v>
      </c>
      <c r="P695" s="98">
        <f>SUM(P692:P694)</f>
        <v>1367206.712780958</v>
      </c>
    </row>
  </sheetData>
  <mergeCells count="5">
    <mergeCell ref="A2:P2"/>
    <mergeCell ref="B7:C7"/>
    <mergeCell ref="B8:C8"/>
    <mergeCell ref="A5:D5"/>
    <mergeCell ref="B9:C9"/>
  </mergeCells>
  <pageMargins left="0.7" right="0.7" top="0.75" bottom="0.75" header="0.3" footer="0.3"/>
  <pageSetup scale="33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100-000000000000}">
          <x14:formula1>
            <xm:f>'PROJECT SUMMARY'!$C$26:$C$32</xm:f>
          </x14:formula1>
          <xm:sqref>H585:H690 H14:H581</xm:sqref>
        </x14:dataValidation>
        <x14:dataValidation type="list" allowBlank="1" showInputMessage="1" showErrorMessage="1" xr:uid="{00000000-0002-0000-0100-000001000000}">
          <x14:formula1>
            <xm:f>'C:\Users\waqar\Desktop\[MEP METROPOLITAN.xlsx]PROJECT SUMMARY'!#REF!</xm:f>
          </x14:formula1>
          <xm:sqref>H582:H584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99489827-E508-45A3-A8E3-87362EF7782B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PROJECT SUMMARY</vt:lpstr>
      <vt:lpstr>BASE BID</vt:lpstr>
      <vt:lpstr>'BASE BID'!Print_Area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Azad</dc:creator>
  <cp:keywords/>
  <dc:description/>
  <cp:lastModifiedBy>waqar liaquat</cp:lastModifiedBy>
  <cp:revision/>
  <dcterms:created xsi:type="dcterms:W3CDTF">2021-10-19T09:11:38Z</dcterms:created>
  <dcterms:modified xsi:type="dcterms:W3CDTF">2022-09-27T07:28:04Z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{99489827-E508-45A3-A8E3-87362EF7782B}</vt:lpwstr>
  </property>
</Properties>
</file>